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04cd027350c075a/Documents/Desktop/"/>
    </mc:Choice>
  </mc:AlternateContent>
  <xr:revisionPtr revIDLastSave="0" documentId="14_{04B5CF4E-4457-41DF-86DA-A3CE25E8AA7C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説明・使い方" sheetId="1" r:id="rId1"/>
    <sheet name="基本情報" sheetId="2" r:id="rId2"/>
    <sheet name="収入計画" sheetId="3" r:id="rId3"/>
    <sheet name="支出計画" sheetId="4" r:id="rId4"/>
    <sheet name="住宅ローン償還表" sheetId="5" r:id="rId5"/>
    <sheet name="ダッシュボード" sheetId="6" r:id="rId6"/>
    <sheet name="金融資産" sheetId="7" r:id="rId7"/>
    <sheet name="保険" sheetId="8" r:id="rId8"/>
    <sheet name="ライフイベント表" sheetId="9" r:id="rId9"/>
    <sheet name="キャッシュフロー表" sheetId="10" r:id="rId10"/>
    <sheet name="全国平均比較" sheetId="11" r:id="rId11"/>
    <sheet name="Sheet1" sheetId="12" r:id="rId12"/>
  </sheets>
  <definedNames>
    <definedName name="CF_開始行">キャッシュフロー表!$X$5</definedName>
    <definedName name="LE_開始行">ライフイベント表!$B$4</definedName>
    <definedName name="ローン_年間返済">住宅ローン償還表!$E$12</definedName>
    <definedName name="ローン1_開始年">住宅ローン償還表!$C$9</definedName>
    <definedName name="ローン1_期間">住宅ローン償還表!$C$8</definedName>
    <definedName name="ローン1_借入">住宅ローン償還表!$C$6</definedName>
    <definedName name="ローン1_利率">住宅ローン償還表!$C$7</definedName>
    <definedName name="ローン2_開始年">住宅ローン償還表!$D$9</definedName>
    <definedName name="ローン2_期間">住宅ローン償還表!$D$8</definedName>
    <definedName name="ローン2_借入">住宅ローン償還表!$D$6</definedName>
    <definedName name="ローン2_利率">住宅ローン償還表!$D$7</definedName>
    <definedName name="一時収入_開始行">収入計画!$B$15</definedName>
    <definedName name="基準年">基本情報!$C$3</definedName>
    <definedName name="教育_高校">支出計画!$D$25</definedName>
    <definedName name="教育_小学">支出計画!$D$23</definedName>
    <definedName name="教育_大学">支出計画!$D$27</definedName>
    <definedName name="教育_大学初">支出計画!$D$26</definedName>
    <definedName name="教育_中学">支出計画!$D$24</definedName>
    <definedName name="教育_保育">支出計画!$D$22</definedName>
    <definedName name="教育変動率">支出計画!$C$29</definedName>
    <definedName name="再就職終了_配偶者">基本情報!$D$20</definedName>
    <definedName name="再就職終了_本人">基本情報!$C$20</definedName>
    <definedName name="再就職年収_配偶者">基本情報!$D$19</definedName>
    <definedName name="再就職年収_本人">基本情報!$C$19</definedName>
    <definedName name="子1基準年齢">基本情報!$E$8</definedName>
    <definedName name="子2基準年齢">基本情報!$E$9</definedName>
    <definedName name="子3基準年齢">基本情報!$E$10</definedName>
    <definedName name="子就職後削減額">支出計画!$C$43</definedName>
    <definedName name="時短終了年齢_配偶者">収入計画!$C$11</definedName>
    <definedName name="出産年">収入計画!$C$9</definedName>
    <definedName name="初期金融資産">金融資産!$C$12</definedName>
    <definedName name="想定運用利回り">金融資産!$D$8</definedName>
    <definedName name="退職金_配偶者">基本情報!$D$16</definedName>
    <definedName name="退職金_本人">基本情報!$C$16</definedName>
    <definedName name="退職後維持費">支出計画!$C$38</definedName>
    <definedName name="退職後生活費">支出計画!$C$40</definedName>
    <definedName name="貯蓄運用利回り">金融資産!$C$15</definedName>
    <definedName name="定年_配偶者">基本情報!$D$15</definedName>
    <definedName name="定年_本人">基本情報!$C$15</definedName>
    <definedName name="年金開始_配偶者">基本情報!$D$17</definedName>
    <definedName name="年金開始_本人">基本情報!$C$17</definedName>
    <definedName name="年金月額_配偶者">基本情報!$D$18</definedName>
    <definedName name="年金月額_本人">基本情報!$C$18</definedName>
    <definedName name="配偶者可処分">収入計画!$D$6</definedName>
    <definedName name="配偶者基準年齢">基本情報!$E$7</definedName>
    <definedName name="配偶者上昇率1">収入計画!$E$6</definedName>
    <definedName name="配偶者上昇率2">収入計画!$F$6</definedName>
    <definedName name="配偶者切替年齢">収入計画!$G$6</definedName>
    <definedName name="配偶者年収">収入計画!$C$6</definedName>
    <definedName name="扶養者基準年齢">基本情報!$E$6</definedName>
    <definedName name="復帰年齢_配偶者">収入計画!$C$10</definedName>
    <definedName name="本人可処分">収入計画!$D$5</definedName>
    <definedName name="本人上昇率1">収入計画!$E$5</definedName>
    <definedName name="本人上昇率2">収入計画!$F$5</definedName>
    <definedName name="本人切替年齢">収入計画!$G$5</definedName>
    <definedName name="本人年収">収入計画!$C$5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1" l="1"/>
  <c r="B5" i="9"/>
  <c r="B6" i="9" s="1"/>
  <c r="C6" i="9" s="1"/>
  <c r="C4" i="9"/>
  <c r="F4" i="9" s="1"/>
  <c r="H11" i="8"/>
  <c r="G11" i="8"/>
  <c r="F11" i="8"/>
  <c r="H10" i="8"/>
  <c r="G10" i="8"/>
  <c r="F10" i="8"/>
  <c r="H9" i="8"/>
  <c r="G9" i="8"/>
  <c r="F9" i="8"/>
  <c r="H8" i="8"/>
  <c r="G8" i="8"/>
  <c r="F8" i="8"/>
  <c r="H7" i="8"/>
  <c r="G7" i="8"/>
  <c r="F7" i="8"/>
  <c r="E7" i="8"/>
  <c r="C12" i="7"/>
  <c r="C8" i="6" s="1"/>
  <c r="C11" i="6"/>
  <c r="C10" i="6"/>
  <c r="C5" i="6"/>
  <c r="H46" i="5"/>
  <c r="F46" i="5"/>
  <c r="E46" i="5"/>
  <c r="D46" i="5"/>
  <c r="C46" i="5"/>
  <c r="H45" i="5"/>
  <c r="F45" i="5"/>
  <c r="E45" i="5"/>
  <c r="D45" i="5"/>
  <c r="C45" i="5"/>
  <c r="H44" i="5"/>
  <c r="F44" i="5"/>
  <c r="E44" i="5"/>
  <c r="D44" i="5"/>
  <c r="C44" i="5"/>
  <c r="H43" i="5"/>
  <c r="F43" i="5"/>
  <c r="E43" i="5"/>
  <c r="D43" i="5"/>
  <c r="C43" i="5"/>
  <c r="H42" i="5"/>
  <c r="F42" i="5"/>
  <c r="E42" i="5"/>
  <c r="D42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D10" i="5"/>
  <c r="C10" i="5"/>
  <c r="D36" i="5" s="1"/>
  <c r="E6" i="5"/>
  <c r="F15" i="4"/>
  <c r="E15" i="4"/>
  <c r="F14" i="4"/>
  <c r="E14" i="4"/>
  <c r="F13" i="4"/>
  <c r="E13" i="4"/>
  <c r="F12" i="4"/>
  <c r="E12" i="4"/>
  <c r="F11" i="4"/>
  <c r="E11" i="4"/>
  <c r="E9" i="4"/>
  <c r="E8" i="4"/>
  <c r="E7" i="4"/>
  <c r="E5" i="4"/>
  <c r="E42" i="3"/>
  <c r="D42" i="3"/>
  <c r="E41" i="3"/>
  <c r="D41" i="3"/>
  <c r="E40" i="3"/>
  <c r="D40" i="3"/>
  <c r="E39" i="3"/>
  <c r="D39" i="3"/>
  <c r="E57" i="3" s="1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50" i="3" s="1"/>
  <c r="E31" i="3"/>
  <c r="D31" i="3"/>
  <c r="E30" i="3"/>
  <c r="D30" i="3"/>
  <c r="E29" i="3"/>
  <c r="D29" i="3"/>
  <c r="E28" i="3"/>
  <c r="D28" i="3"/>
  <c r="E27" i="3"/>
  <c r="D27" i="3"/>
  <c r="C21" i="3"/>
  <c r="C18" i="3"/>
  <c r="C15" i="3"/>
  <c r="C12" i="3"/>
  <c r="C9" i="3"/>
  <c r="E12" i="2"/>
  <c r="F12" i="2" s="1"/>
  <c r="E11" i="2"/>
  <c r="F11" i="2" s="1"/>
  <c r="E10" i="2"/>
  <c r="F10" i="2" s="1"/>
  <c r="E9" i="2"/>
  <c r="F9" i="2" s="1"/>
  <c r="E8" i="2"/>
  <c r="E7" i="2"/>
  <c r="E6" i="2"/>
  <c r="F10" i="4" s="1"/>
  <c r="V70" i="10"/>
  <c r="C70" i="10"/>
  <c r="J70" i="10" s="1"/>
  <c r="V69" i="10"/>
  <c r="C69" i="10"/>
  <c r="R69" i="10" s="1"/>
  <c r="V68" i="10"/>
  <c r="C68" i="10"/>
  <c r="I68" i="10" s="1"/>
  <c r="V67" i="10"/>
  <c r="C67" i="10"/>
  <c r="R67" i="10" s="1"/>
  <c r="V66" i="10"/>
  <c r="C66" i="10"/>
  <c r="V65" i="10"/>
  <c r="C65" i="10"/>
  <c r="R65" i="10" s="1"/>
  <c r="V64" i="10"/>
  <c r="C64" i="10"/>
  <c r="J64" i="10" s="1"/>
  <c r="V63" i="10"/>
  <c r="C63" i="10"/>
  <c r="R63" i="10" s="1"/>
  <c r="V62" i="10"/>
  <c r="C62" i="10"/>
  <c r="W62" i="10" s="1"/>
  <c r="V61" i="10"/>
  <c r="C61" i="10"/>
  <c r="E61" i="10" s="1"/>
  <c r="L61" i="10" s="1"/>
  <c r="V60" i="10"/>
  <c r="C60" i="10"/>
  <c r="H60" i="10" s="1"/>
  <c r="V59" i="10"/>
  <c r="C59" i="10"/>
  <c r="V58" i="10"/>
  <c r="C58" i="10"/>
  <c r="J58" i="10" s="1"/>
  <c r="V57" i="10"/>
  <c r="C57" i="10"/>
  <c r="H57" i="10" s="1"/>
  <c r="V56" i="10"/>
  <c r="C56" i="10"/>
  <c r="E56" i="10" s="1"/>
  <c r="L56" i="10" s="1"/>
  <c r="V55" i="10"/>
  <c r="C55" i="10"/>
  <c r="H55" i="10" s="1"/>
  <c r="V54" i="10"/>
  <c r="C54" i="10"/>
  <c r="V53" i="10"/>
  <c r="C53" i="10"/>
  <c r="V52" i="10"/>
  <c r="C52" i="10"/>
  <c r="H52" i="10" s="1"/>
  <c r="V51" i="10"/>
  <c r="C51" i="10"/>
  <c r="R51" i="10" s="1"/>
  <c r="V50" i="10"/>
  <c r="C50" i="10"/>
  <c r="W50" i="10" s="1"/>
  <c r="V49" i="10"/>
  <c r="C49" i="10"/>
  <c r="V48" i="10"/>
  <c r="C48" i="10"/>
  <c r="J48" i="10" s="1"/>
  <c r="V47" i="10"/>
  <c r="C47" i="10"/>
  <c r="V46" i="10"/>
  <c r="C46" i="10"/>
  <c r="W46" i="10" s="1"/>
  <c r="V45" i="10"/>
  <c r="C45" i="10"/>
  <c r="V44" i="10"/>
  <c r="C44" i="10"/>
  <c r="R44" i="10" s="1"/>
  <c r="V43" i="10"/>
  <c r="C43" i="10"/>
  <c r="J43" i="10" s="1"/>
  <c r="V42" i="10"/>
  <c r="C42" i="10"/>
  <c r="D42" i="10" s="1"/>
  <c r="V41" i="10"/>
  <c r="C41" i="10"/>
  <c r="E41" i="10" s="1"/>
  <c r="L41" i="10" s="1"/>
  <c r="V40" i="10"/>
  <c r="C40" i="10"/>
  <c r="D40" i="10" s="1"/>
  <c r="V39" i="10"/>
  <c r="C39" i="10"/>
  <c r="V38" i="10"/>
  <c r="C38" i="10"/>
  <c r="W38" i="10" s="1"/>
  <c r="V37" i="10"/>
  <c r="C37" i="10"/>
  <c r="V36" i="10"/>
  <c r="C36" i="10"/>
  <c r="R36" i="10" s="1"/>
  <c r="V35" i="10"/>
  <c r="C35" i="10"/>
  <c r="V34" i="10"/>
  <c r="C34" i="10"/>
  <c r="J34" i="10" s="1"/>
  <c r="V33" i="10"/>
  <c r="C33" i="10"/>
  <c r="D33" i="10" s="1"/>
  <c r="V32" i="10"/>
  <c r="C32" i="10"/>
  <c r="V31" i="10"/>
  <c r="C31" i="10"/>
  <c r="E31" i="10" s="1"/>
  <c r="L31" i="10" s="1"/>
  <c r="V30" i="10"/>
  <c r="C30" i="10"/>
  <c r="J30" i="10" s="1"/>
  <c r="V29" i="10"/>
  <c r="C29" i="10"/>
  <c r="E29" i="10" s="1"/>
  <c r="L29" i="10" s="1"/>
  <c r="V28" i="10"/>
  <c r="C28" i="10"/>
  <c r="D28" i="10" s="1"/>
  <c r="K28" i="10" s="1"/>
  <c r="V27" i="10"/>
  <c r="C27" i="10"/>
  <c r="V26" i="10"/>
  <c r="C26" i="10"/>
  <c r="J26" i="10" s="1"/>
  <c r="V25" i="10"/>
  <c r="C25" i="10"/>
  <c r="J25" i="10" s="1"/>
  <c r="V24" i="10"/>
  <c r="C24" i="10"/>
  <c r="H24" i="10" s="1"/>
  <c r="V23" i="10"/>
  <c r="C23" i="10"/>
  <c r="V22" i="10"/>
  <c r="C22" i="10"/>
  <c r="E22" i="10" s="1"/>
  <c r="L22" i="10" s="1"/>
  <c r="V21" i="10"/>
  <c r="C21" i="10"/>
  <c r="H21" i="10" s="1"/>
  <c r="V20" i="10"/>
  <c r="C20" i="10"/>
  <c r="J20" i="10" s="1"/>
  <c r="V19" i="10"/>
  <c r="C19" i="10"/>
  <c r="V18" i="10"/>
  <c r="C18" i="10"/>
  <c r="W18" i="10" s="1"/>
  <c r="V17" i="10"/>
  <c r="C17" i="10"/>
  <c r="R17" i="10" s="1"/>
  <c r="V16" i="10"/>
  <c r="C16" i="10"/>
  <c r="D16" i="10" s="1"/>
  <c r="V15" i="10"/>
  <c r="C15" i="10"/>
  <c r="V14" i="10"/>
  <c r="C14" i="10"/>
  <c r="E14" i="10" s="1"/>
  <c r="L14" i="10" s="1"/>
  <c r="V13" i="10"/>
  <c r="C13" i="10"/>
  <c r="R13" i="10" s="1"/>
  <c r="V12" i="10"/>
  <c r="C12" i="10"/>
  <c r="E12" i="10" s="1"/>
  <c r="L12" i="10" s="1"/>
  <c r="V11" i="10"/>
  <c r="C11" i="10"/>
  <c r="E11" i="10" s="1"/>
  <c r="L11" i="10" s="1"/>
  <c r="V10" i="10"/>
  <c r="C10" i="10"/>
  <c r="I10" i="10" s="1"/>
  <c r="V9" i="10"/>
  <c r="C9" i="10"/>
  <c r="V8" i="10"/>
  <c r="C8" i="10"/>
  <c r="G8" i="10" s="1"/>
  <c r="V7" i="10"/>
  <c r="C7" i="10"/>
  <c r="V6" i="10"/>
  <c r="C6" i="10"/>
  <c r="R6" i="10" s="1"/>
  <c r="V5" i="10"/>
  <c r="C5" i="10"/>
  <c r="D5" i="10" s="1"/>
  <c r="U17" i="10" l="1"/>
  <c r="W64" i="10"/>
  <c r="G64" i="10"/>
  <c r="F67" i="10"/>
  <c r="F64" i="10"/>
  <c r="W58" i="10"/>
  <c r="F62" i="10"/>
  <c r="H64" i="10"/>
  <c r="E6" i="10"/>
  <c r="L6" i="10" s="1"/>
  <c r="G6" i="10"/>
  <c r="I70" i="10"/>
  <c r="O70" i="10" s="1"/>
  <c r="P70" i="10" s="1"/>
  <c r="D17" i="5"/>
  <c r="I31" i="10"/>
  <c r="H16" i="10"/>
  <c r="H46" i="10"/>
  <c r="H65" i="10"/>
  <c r="S65" i="10"/>
  <c r="D33" i="5"/>
  <c r="J10" i="10"/>
  <c r="H31" i="10"/>
  <c r="R10" i="10"/>
  <c r="I6" i="10"/>
  <c r="I16" i="10"/>
  <c r="D20" i="5"/>
  <c r="F10" i="10"/>
  <c r="G12" i="10"/>
  <c r="R16" i="10"/>
  <c r="F22" i="10"/>
  <c r="E33" i="10"/>
  <c r="L33" i="10" s="1"/>
  <c r="G43" i="5"/>
  <c r="D22" i="5"/>
  <c r="H6" i="10"/>
  <c r="S49" i="10"/>
  <c r="H67" i="10"/>
  <c r="J6" i="10"/>
  <c r="W6" i="10"/>
  <c r="J16" i="10"/>
  <c r="H12" i="10"/>
  <c r="H22" i="10"/>
  <c r="J33" i="10"/>
  <c r="D39" i="5"/>
  <c r="F6" i="10"/>
  <c r="W44" i="10"/>
  <c r="F20" i="10"/>
  <c r="I12" i="10"/>
  <c r="I22" i="10"/>
  <c r="D29" i="10"/>
  <c r="M29" i="10" s="1"/>
  <c r="J12" i="10"/>
  <c r="J22" i="10"/>
  <c r="H17" i="10"/>
  <c r="F29" i="10"/>
  <c r="W8" i="10"/>
  <c r="J29" i="10"/>
  <c r="R8" i="10"/>
  <c r="E17" i="10"/>
  <c r="L17" i="10" s="1"/>
  <c r="W12" i="10"/>
  <c r="E50" i="10"/>
  <c r="L50" i="10" s="1"/>
  <c r="E64" i="10"/>
  <c r="L64" i="10" s="1"/>
  <c r="K33" i="10"/>
  <c r="U7" i="10"/>
  <c r="U39" i="10"/>
  <c r="F49" i="10"/>
  <c r="G45" i="5"/>
  <c r="F14" i="10"/>
  <c r="F56" i="10"/>
  <c r="U45" i="10"/>
  <c r="G14" i="10"/>
  <c r="H14" i="10"/>
  <c r="G40" i="10"/>
  <c r="E8" i="10"/>
  <c r="L8" i="10" s="1"/>
  <c r="F8" i="10"/>
  <c r="W16" i="10"/>
  <c r="W20" i="10"/>
  <c r="W56" i="10"/>
  <c r="U43" i="10"/>
  <c r="R20" i="10"/>
  <c r="U25" i="10"/>
  <c r="H8" i="10"/>
  <c r="I30" i="10"/>
  <c r="I46" i="10"/>
  <c r="G62" i="10"/>
  <c r="D69" i="10"/>
  <c r="Q69" i="10" s="1"/>
  <c r="R49" i="10"/>
  <c r="I14" i="10"/>
  <c r="J14" i="10"/>
  <c r="D6" i="10"/>
  <c r="K6" i="10" s="1"/>
  <c r="I8" i="10"/>
  <c r="F12" i="10"/>
  <c r="R14" i="10"/>
  <c r="D17" i="10"/>
  <c r="K17" i="10" s="1"/>
  <c r="U41" i="10"/>
  <c r="J46" i="10"/>
  <c r="H62" i="10"/>
  <c r="D65" i="10"/>
  <c r="K65" i="10" s="1"/>
  <c r="D24" i="5"/>
  <c r="S33" i="10"/>
  <c r="J8" i="10"/>
  <c r="I62" i="10"/>
  <c r="E65" i="10"/>
  <c r="D37" i="5"/>
  <c r="W14" i="10"/>
  <c r="S47" i="10"/>
  <c r="U58" i="10"/>
  <c r="J62" i="10"/>
  <c r="E53" i="3"/>
  <c r="G22" i="10"/>
  <c r="I58" i="10"/>
  <c r="J65" i="10"/>
  <c r="E70" i="10"/>
  <c r="D26" i="5"/>
  <c r="F28" i="10"/>
  <c r="Q28" i="10" s="1"/>
  <c r="U37" i="10"/>
  <c r="G48" i="10"/>
  <c r="E63" i="10"/>
  <c r="L63" i="10" s="1"/>
  <c r="F8" i="4"/>
  <c r="U9" i="10"/>
  <c r="G28" i="10"/>
  <c r="H48" i="10"/>
  <c r="U66" i="10"/>
  <c r="G44" i="5"/>
  <c r="S43" i="10"/>
  <c r="F16" i="10"/>
  <c r="Q16" i="10" s="1"/>
  <c r="R22" i="10"/>
  <c r="U59" i="10"/>
  <c r="D18" i="5"/>
  <c r="D41" i="5"/>
  <c r="U18" i="10"/>
  <c r="E16" i="10"/>
  <c r="L16" i="10" s="1"/>
  <c r="U6" i="10"/>
  <c r="U54" i="10"/>
  <c r="E10" i="10"/>
  <c r="L10" i="10" s="1"/>
  <c r="G16" i="10"/>
  <c r="U19" i="10"/>
  <c r="S38" i="10"/>
  <c r="S44" i="10"/>
  <c r="W48" i="10"/>
  <c r="E56" i="3"/>
  <c r="D30" i="5"/>
  <c r="U38" i="10"/>
  <c r="U44" i="10"/>
  <c r="U50" i="10"/>
  <c r="S69" i="10"/>
  <c r="C7" i="11"/>
  <c r="E34" i="10"/>
  <c r="L34" i="10" s="1"/>
  <c r="S48" i="10"/>
  <c r="G54" i="10"/>
  <c r="E60" i="10"/>
  <c r="L60" i="10" s="1"/>
  <c r="U31" i="10"/>
  <c r="F34" i="10"/>
  <c r="R42" i="10"/>
  <c r="I54" i="10"/>
  <c r="I60" i="10"/>
  <c r="G66" i="10"/>
  <c r="U8" i="10"/>
  <c r="D18" i="10"/>
  <c r="D26" i="10"/>
  <c r="K26" i="10" s="1"/>
  <c r="H26" i="10"/>
  <c r="D39" i="10"/>
  <c r="K39" i="10" s="1"/>
  <c r="J60" i="10"/>
  <c r="S64" i="10"/>
  <c r="E19" i="10"/>
  <c r="L19" i="10" s="1"/>
  <c r="G19" i="10"/>
  <c r="U10" i="10"/>
  <c r="R19" i="10"/>
  <c r="H34" i="10"/>
  <c r="S46" i="10"/>
  <c r="R54" i="10"/>
  <c r="R60" i="10"/>
  <c r="G5" i="10"/>
  <c r="D24" i="10"/>
  <c r="K24" i="10" s="1"/>
  <c r="U5" i="10"/>
  <c r="D9" i="10"/>
  <c r="K9" i="10" s="1"/>
  <c r="R12" i="10"/>
  <c r="E37" i="10"/>
  <c r="D45" i="10"/>
  <c r="E51" i="10"/>
  <c r="L51" i="10" s="1"/>
  <c r="R9" i="10"/>
  <c r="G18" i="10"/>
  <c r="D30" i="10"/>
  <c r="K30" i="10" s="1"/>
  <c r="E45" i="10"/>
  <c r="L45" i="10" s="1"/>
  <c r="F51" i="10"/>
  <c r="S54" i="10"/>
  <c r="S60" i="10"/>
  <c r="R62" i="10"/>
  <c r="D40" i="5"/>
  <c r="R5" i="10"/>
  <c r="E18" i="10"/>
  <c r="L18" i="10" s="1"/>
  <c r="H19" i="10"/>
  <c r="E24" i="10"/>
  <c r="L24" i="10" s="1"/>
  <c r="G34" i="10"/>
  <c r="D37" i="10"/>
  <c r="U42" i="10"/>
  <c r="R46" i="10"/>
  <c r="J54" i="10"/>
  <c r="F18" i="10"/>
  <c r="U21" i="10"/>
  <c r="I24" i="10"/>
  <c r="R26" i="10"/>
  <c r="J39" i="10"/>
  <c r="U12" i="10"/>
  <c r="J24" i="10"/>
  <c r="I34" i="10"/>
  <c r="D49" i="10"/>
  <c r="K49" i="10" s="1"/>
  <c r="D8" i="10"/>
  <c r="K8" i="10" s="1"/>
  <c r="W10" i="10"/>
  <c r="U16" i="10"/>
  <c r="H18" i="10"/>
  <c r="H30" i="10"/>
  <c r="S39" i="10"/>
  <c r="D43" i="10"/>
  <c r="K43" i="10" s="1"/>
  <c r="E49" i="10"/>
  <c r="H51" i="10"/>
  <c r="E58" i="10"/>
  <c r="L58" i="10" s="1"/>
  <c r="S62" i="10"/>
  <c r="E67" i="10"/>
  <c r="L67" i="10" s="1"/>
  <c r="D70" i="10"/>
  <c r="Q70" i="10" s="1"/>
  <c r="E51" i="3"/>
  <c r="D31" i="5"/>
  <c r="R34" i="10"/>
  <c r="J51" i="10"/>
  <c r="W60" i="10"/>
  <c r="D34" i="10"/>
  <c r="K34" i="10" s="1"/>
  <c r="H5" i="10"/>
  <c r="I18" i="10"/>
  <c r="U13" i="10"/>
  <c r="U14" i="10"/>
  <c r="J18" i="10"/>
  <c r="D20" i="10"/>
  <c r="U24" i="10"/>
  <c r="S37" i="10"/>
  <c r="R47" i="10"/>
  <c r="H49" i="10"/>
  <c r="S51" i="10"/>
  <c r="E52" i="3"/>
  <c r="D32" i="5"/>
  <c r="G4" i="9"/>
  <c r="S36" i="10"/>
  <c r="R24" i="10"/>
  <c r="D11" i="10"/>
  <c r="K11" i="10" s="1"/>
  <c r="S34" i="10"/>
  <c r="D10" i="10"/>
  <c r="Q10" i="10" s="1"/>
  <c r="G13" i="10"/>
  <c r="E20" i="10"/>
  <c r="L20" i="10" s="1"/>
  <c r="R30" i="10"/>
  <c r="J49" i="10"/>
  <c r="F65" i="10"/>
  <c r="J67" i="10"/>
  <c r="R70" i="10"/>
  <c r="D23" i="5"/>
  <c r="H4" i="9"/>
  <c r="U20" i="10"/>
  <c r="W34" i="10"/>
  <c r="U46" i="10"/>
  <c r="U47" i="10"/>
  <c r="S55" i="10"/>
  <c r="U61" i="10"/>
  <c r="S67" i="10"/>
  <c r="S70" i="10"/>
  <c r="I4" i="9"/>
  <c r="S30" i="10"/>
  <c r="D46" i="10"/>
  <c r="G52" i="10"/>
  <c r="U55" i="10"/>
  <c r="U70" i="10"/>
  <c r="J4" i="9"/>
  <c r="G20" i="10"/>
  <c r="U28" i="10"/>
  <c r="D38" i="10"/>
  <c r="K38" i="10" s="1"/>
  <c r="U62" i="10"/>
  <c r="S63" i="10"/>
  <c r="E54" i="3"/>
  <c r="D34" i="5"/>
  <c r="U11" i="10"/>
  <c r="G10" i="10"/>
  <c r="R18" i="10"/>
  <c r="E46" i="10"/>
  <c r="L46" i="10" s="1"/>
  <c r="D14" i="10"/>
  <c r="N14" i="10" s="1"/>
  <c r="U36" i="10"/>
  <c r="I41" i="10"/>
  <c r="D44" i="10"/>
  <c r="K44" i="10" s="1"/>
  <c r="F46" i="10"/>
  <c r="E48" i="10"/>
  <c r="L48" i="10" s="1"/>
  <c r="F59" i="10"/>
  <c r="D62" i="10"/>
  <c r="Q62" i="10" s="1"/>
  <c r="J68" i="10"/>
  <c r="O68" i="10" s="1"/>
  <c r="P68" i="10" s="1"/>
  <c r="W70" i="10"/>
  <c r="D25" i="5"/>
  <c r="C5" i="9"/>
  <c r="D5" i="9" s="1"/>
  <c r="D25" i="10"/>
  <c r="K25" i="10" s="1"/>
  <c r="H20" i="10"/>
  <c r="F25" i="10"/>
  <c r="H10" i="10"/>
  <c r="D12" i="10"/>
  <c r="K12" i="10" s="1"/>
  <c r="I20" i="10"/>
  <c r="H25" i="10"/>
  <c r="D31" i="10"/>
  <c r="N31" i="10" s="1"/>
  <c r="W22" i="10"/>
  <c r="F36" i="10"/>
  <c r="R38" i="10"/>
  <c r="J41" i="10"/>
  <c r="G46" i="10"/>
  <c r="F48" i="10"/>
  <c r="E62" i="10"/>
  <c r="L62" i="10" s="1"/>
  <c r="E55" i="3"/>
  <c r="K5" i="10"/>
  <c r="J15" i="10"/>
  <c r="I15" i="10"/>
  <c r="F15" i="10"/>
  <c r="J11" i="10"/>
  <c r="I11" i="10"/>
  <c r="F11" i="10"/>
  <c r="W11" i="10"/>
  <c r="E15" i="10"/>
  <c r="L15" i="10" s="1"/>
  <c r="K42" i="10"/>
  <c r="J7" i="10"/>
  <c r="I7" i="10"/>
  <c r="F7" i="10"/>
  <c r="W23" i="10"/>
  <c r="G23" i="10"/>
  <c r="J23" i="10"/>
  <c r="I23" i="10"/>
  <c r="E23" i="10"/>
  <c r="L23" i="10" s="1"/>
  <c r="D7" i="10"/>
  <c r="D23" i="10"/>
  <c r="W27" i="10"/>
  <c r="G27" i="10"/>
  <c r="R27" i="10"/>
  <c r="F27" i="10"/>
  <c r="E27" i="10"/>
  <c r="L27" i="10" s="1"/>
  <c r="D27" i="10"/>
  <c r="K40" i="10"/>
  <c r="G15" i="10"/>
  <c r="W7" i="10"/>
  <c r="G11" i="10"/>
  <c r="D21" i="10"/>
  <c r="H11" i="10"/>
  <c r="E21" i="10"/>
  <c r="L21" i="10" s="1"/>
  <c r="F23" i="10"/>
  <c r="H27" i="10"/>
  <c r="E7" i="10"/>
  <c r="L7" i="10" s="1"/>
  <c r="G7" i="10"/>
  <c r="J17" i="10"/>
  <c r="I17" i="10"/>
  <c r="F17" i="10"/>
  <c r="W17" i="10"/>
  <c r="H23" i="10"/>
  <c r="I27" i="10"/>
  <c r="D15" i="10"/>
  <c r="W21" i="10"/>
  <c r="G21" i="10"/>
  <c r="J21" i="10"/>
  <c r="F21" i="10"/>
  <c r="I21" i="10"/>
  <c r="J27" i="10"/>
  <c r="W35" i="10"/>
  <c r="G35" i="10"/>
  <c r="R35" i="10"/>
  <c r="J35" i="10"/>
  <c r="I35" i="10"/>
  <c r="F35" i="10"/>
  <c r="E35" i="10"/>
  <c r="L35" i="10" s="1"/>
  <c r="S35" i="10"/>
  <c r="J13" i="10"/>
  <c r="I13" i="10"/>
  <c r="F13" i="10"/>
  <c r="W13" i="10"/>
  <c r="J32" i="10"/>
  <c r="I32" i="10"/>
  <c r="H32" i="10"/>
  <c r="G32" i="10"/>
  <c r="W32" i="10"/>
  <c r="E32" i="10"/>
  <c r="L32" i="10" s="1"/>
  <c r="D32" i="10"/>
  <c r="S32" i="10"/>
  <c r="D35" i="10"/>
  <c r="W15" i="10"/>
  <c r="D13" i="10"/>
  <c r="K16" i="10"/>
  <c r="G17" i="10"/>
  <c r="F32" i="10"/>
  <c r="H35" i="10"/>
  <c r="H7" i="10"/>
  <c r="J9" i="10"/>
  <c r="I9" i="10"/>
  <c r="F9" i="10"/>
  <c r="W9" i="10"/>
  <c r="E13" i="10"/>
  <c r="L13" i="10" s="1"/>
  <c r="R15" i="10"/>
  <c r="R23" i="10"/>
  <c r="I53" i="10"/>
  <c r="W53" i="10"/>
  <c r="G53" i="10"/>
  <c r="R53" i="10"/>
  <c r="J53" i="10"/>
  <c r="F53" i="10"/>
  <c r="U53" i="10"/>
  <c r="S53" i="10"/>
  <c r="H53" i="10"/>
  <c r="E53" i="10"/>
  <c r="L53" i="10" s="1"/>
  <c r="D53" i="10"/>
  <c r="E9" i="10"/>
  <c r="R32" i="10"/>
  <c r="U35" i="10"/>
  <c r="W5" i="10"/>
  <c r="R11" i="10"/>
  <c r="H13" i="10"/>
  <c r="U15" i="10"/>
  <c r="J19" i="10"/>
  <c r="I19" i="10"/>
  <c r="F19" i="10"/>
  <c r="W19" i="10"/>
  <c r="R21" i="10"/>
  <c r="U23" i="10"/>
  <c r="H15" i="10"/>
  <c r="U27" i="10"/>
  <c r="I5" i="10"/>
  <c r="J5" i="10"/>
  <c r="F5" i="10"/>
  <c r="G9" i="10"/>
  <c r="E5" i="10"/>
  <c r="L5" i="10" s="1"/>
  <c r="R7" i="10"/>
  <c r="H9" i="10"/>
  <c r="D19" i="10"/>
  <c r="W25" i="10"/>
  <c r="G25" i="10"/>
  <c r="R25" i="10"/>
  <c r="I25" i="10"/>
  <c r="E25" i="10"/>
  <c r="L25" i="10" s="1"/>
  <c r="J28" i="10"/>
  <c r="R28" i="10"/>
  <c r="I28" i="10"/>
  <c r="H28" i="10"/>
  <c r="W28" i="10"/>
  <c r="E28" i="10"/>
  <c r="L28" i="10" s="1"/>
  <c r="W31" i="10"/>
  <c r="G31" i="10"/>
  <c r="R31" i="10"/>
  <c r="S31" i="10"/>
  <c r="J31" i="10"/>
  <c r="F31" i="10"/>
  <c r="U32" i="10"/>
  <c r="E36" i="5"/>
  <c r="F36" i="5" s="1"/>
  <c r="E28" i="5"/>
  <c r="E20" i="5"/>
  <c r="E41" i="5"/>
  <c r="E33" i="5"/>
  <c r="E25" i="5"/>
  <c r="E17" i="5"/>
  <c r="E38" i="5"/>
  <c r="E30" i="5"/>
  <c r="F30" i="5" s="1"/>
  <c r="E22" i="5"/>
  <c r="E37" i="5"/>
  <c r="E29" i="5"/>
  <c r="E21" i="5"/>
  <c r="H18" i="5"/>
  <c r="E32" i="5"/>
  <c r="E39" i="5"/>
  <c r="F39" i="5" s="1"/>
  <c r="H35" i="5"/>
  <c r="S23" i="10" s="1"/>
  <c r="H28" i="5"/>
  <c r="S16" i="10" s="1"/>
  <c r="E18" i="5"/>
  <c r="E35" i="5"/>
  <c r="H31" i="5"/>
  <c r="H24" i="5"/>
  <c r="S12" i="10" s="1"/>
  <c r="H34" i="5"/>
  <c r="E24" i="5"/>
  <c r="E31" i="5"/>
  <c r="F31" i="5" s="1"/>
  <c r="H27" i="5"/>
  <c r="S15" i="10" s="1"/>
  <c r="H20" i="5"/>
  <c r="E34" i="5"/>
  <c r="E27" i="5"/>
  <c r="H23" i="5"/>
  <c r="S11" i="10" s="1"/>
  <c r="H40" i="5"/>
  <c r="H30" i="5"/>
  <c r="D12" i="5"/>
  <c r="H33" i="5"/>
  <c r="S21" i="10" s="1"/>
  <c r="H26" i="5"/>
  <c r="S14" i="10" s="1"/>
  <c r="E40" i="5"/>
  <c r="E23" i="5"/>
  <c r="H19" i="5"/>
  <c r="D11" i="5"/>
  <c r="H36" i="5"/>
  <c r="E26" i="5"/>
  <c r="E10" i="5"/>
  <c r="F52" i="10"/>
  <c r="W52" i="10"/>
  <c r="E52" i="10"/>
  <c r="L52" i="10" s="1"/>
  <c r="R52" i="10"/>
  <c r="D52" i="10"/>
  <c r="I57" i="10"/>
  <c r="W57" i="10"/>
  <c r="G57" i="10"/>
  <c r="F57" i="10"/>
  <c r="E57" i="10"/>
  <c r="L57" i="10" s="1"/>
  <c r="D57" i="10"/>
  <c r="S57" i="10"/>
  <c r="W29" i="10"/>
  <c r="G29" i="10"/>
  <c r="R29" i="10"/>
  <c r="U29" i="10"/>
  <c r="R40" i="10"/>
  <c r="S41" i="10"/>
  <c r="S42" i="10"/>
  <c r="R50" i="10"/>
  <c r="J50" i="10"/>
  <c r="I50" i="10"/>
  <c r="H50" i="10"/>
  <c r="F50" i="10"/>
  <c r="I52" i="10"/>
  <c r="S56" i="10"/>
  <c r="R56" i="10"/>
  <c r="J56" i="10"/>
  <c r="H56" i="10"/>
  <c r="J57" i="10"/>
  <c r="U26" i="10"/>
  <c r="S40" i="10"/>
  <c r="D50" i="10"/>
  <c r="J52" i="10"/>
  <c r="D56" i="10"/>
  <c r="E19" i="5"/>
  <c r="J36" i="10"/>
  <c r="H36" i="10"/>
  <c r="U40" i="10"/>
  <c r="G50" i="10"/>
  <c r="I59" i="10"/>
  <c r="W59" i="10"/>
  <c r="G59" i="10"/>
  <c r="S59" i="10"/>
  <c r="R59" i="10"/>
  <c r="J59" i="10"/>
  <c r="H59" i="10"/>
  <c r="E26" i="10"/>
  <c r="W26" i="10"/>
  <c r="W36" i="10"/>
  <c r="F26" i="10"/>
  <c r="H29" i="10"/>
  <c r="W33" i="10"/>
  <c r="G33" i="10"/>
  <c r="R33" i="10"/>
  <c r="U33" i="10"/>
  <c r="D36" i="10"/>
  <c r="H37" i="10"/>
  <c r="W37" i="10"/>
  <c r="G37" i="10"/>
  <c r="R37" i="10"/>
  <c r="W42" i="10"/>
  <c r="I45" i="10"/>
  <c r="W45" i="10"/>
  <c r="G45" i="10"/>
  <c r="J45" i="10"/>
  <c r="H45" i="10"/>
  <c r="S45" i="10"/>
  <c r="R45" i="10"/>
  <c r="I47" i="10"/>
  <c r="W47" i="10"/>
  <c r="G47" i="10"/>
  <c r="J47" i="10"/>
  <c r="H47" i="10"/>
  <c r="F47" i="10"/>
  <c r="D47" i="10"/>
  <c r="S52" i="10"/>
  <c r="G56" i="10"/>
  <c r="D59" i="10"/>
  <c r="G26" i="10"/>
  <c r="I29" i="10"/>
  <c r="U30" i="10"/>
  <c r="E36" i="10"/>
  <c r="L36" i="10" s="1"/>
  <c r="J38" i="10"/>
  <c r="I38" i="10"/>
  <c r="H38" i="10"/>
  <c r="H39" i="10"/>
  <c r="W39" i="10"/>
  <c r="G39" i="10"/>
  <c r="R39" i="10"/>
  <c r="W40" i="10"/>
  <c r="H43" i="10"/>
  <c r="W43" i="10"/>
  <c r="G43" i="10"/>
  <c r="R43" i="10"/>
  <c r="J44" i="10"/>
  <c r="I44" i="10"/>
  <c r="H44" i="10"/>
  <c r="F44" i="10"/>
  <c r="E47" i="10"/>
  <c r="L47" i="10" s="1"/>
  <c r="I55" i="10"/>
  <c r="W55" i="10"/>
  <c r="G55" i="10"/>
  <c r="F55" i="10"/>
  <c r="E55" i="10"/>
  <c r="L55" i="10" s="1"/>
  <c r="D55" i="10"/>
  <c r="R55" i="10"/>
  <c r="I56" i="10"/>
  <c r="R57" i="10"/>
  <c r="E59" i="10"/>
  <c r="L59" i="10" s="1"/>
  <c r="R66" i="10"/>
  <c r="J66" i="10"/>
  <c r="I66" i="10"/>
  <c r="H66" i="10"/>
  <c r="F66" i="10"/>
  <c r="W66" i="10"/>
  <c r="E66" i="10"/>
  <c r="L66" i="10" s="1"/>
  <c r="D66" i="10"/>
  <c r="U52" i="10"/>
  <c r="F24" i="10"/>
  <c r="W24" i="10"/>
  <c r="I26" i="10"/>
  <c r="E30" i="10"/>
  <c r="W30" i="10"/>
  <c r="F33" i="10"/>
  <c r="G36" i="10"/>
  <c r="F37" i="10"/>
  <c r="E38" i="10"/>
  <c r="E39" i="10"/>
  <c r="D41" i="10"/>
  <c r="E43" i="10"/>
  <c r="L43" i="10" s="1"/>
  <c r="E44" i="10"/>
  <c r="F45" i="10"/>
  <c r="F54" i="10"/>
  <c r="W54" i="10"/>
  <c r="E54" i="10"/>
  <c r="L54" i="10" s="1"/>
  <c r="D54" i="10"/>
  <c r="J55" i="10"/>
  <c r="J40" i="10"/>
  <c r="I40" i="10"/>
  <c r="H40" i="10"/>
  <c r="J42" i="10"/>
  <c r="I42" i="10"/>
  <c r="H42" i="10"/>
  <c r="F42" i="10"/>
  <c r="U22" i="10"/>
  <c r="G24" i="10"/>
  <c r="F30" i="10"/>
  <c r="H33" i="10"/>
  <c r="I36" i="10"/>
  <c r="I37" i="10"/>
  <c r="F38" i="10"/>
  <c r="F39" i="10"/>
  <c r="E40" i="10"/>
  <c r="L40" i="10" s="1"/>
  <c r="E42" i="10"/>
  <c r="L42" i="10" s="1"/>
  <c r="F43" i="10"/>
  <c r="G44" i="10"/>
  <c r="S50" i="10"/>
  <c r="H58" i="10"/>
  <c r="G58" i="10"/>
  <c r="F58" i="10"/>
  <c r="S58" i="10"/>
  <c r="R58" i="10"/>
  <c r="S66" i="10"/>
  <c r="H41" i="10"/>
  <c r="W41" i="10"/>
  <c r="G41" i="10"/>
  <c r="R41" i="10"/>
  <c r="U57" i="10"/>
  <c r="D22" i="10"/>
  <c r="G30" i="10"/>
  <c r="I33" i="10"/>
  <c r="U34" i="10"/>
  <c r="J37" i="10"/>
  <c r="G38" i="10"/>
  <c r="I39" i="10"/>
  <c r="F40" i="10"/>
  <c r="F41" i="10"/>
  <c r="G42" i="10"/>
  <c r="I43" i="10"/>
  <c r="H54" i="10"/>
  <c r="U56" i="10"/>
  <c r="D58" i="10"/>
  <c r="I61" i="10"/>
  <c r="W61" i="10"/>
  <c r="G61" i="10"/>
  <c r="J61" i="10"/>
  <c r="H61" i="10"/>
  <c r="F61" i="10"/>
  <c r="D61" i="10"/>
  <c r="S61" i="10"/>
  <c r="R61" i="10"/>
  <c r="G46" i="5"/>
  <c r="D6" i="9"/>
  <c r="I6" i="9"/>
  <c r="H6" i="9"/>
  <c r="F6" i="9"/>
  <c r="R68" i="10"/>
  <c r="U60" i="10"/>
  <c r="I63" i="10"/>
  <c r="W63" i="10"/>
  <c r="G63" i="10"/>
  <c r="U63" i="10"/>
  <c r="S68" i="10"/>
  <c r="R48" i="10"/>
  <c r="D60" i="10"/>
  <c r="D63" i="10"/>
  <c r="R64" i="10"/>
  <c r="U68" i="10"/>
  <c r="E6" i="9"/>
  <c r="F60" i="10"/>
  <c r="F63" i="10"/>
  <c r="C6" i="6"/>
  <c r="E6" i="4"/>
  <c r="C5" i="11"/>
  <c r="F9" i="4"/>
  <c r="D38" i="5"/>
  <c r="H41" i="5"/>
  <c r="G6" i="9"/>
  <c r="U48" i="10"/>
  <c r="I51" i="10"/>
  <c r="W51" i="10"/>
  <c r="G51" i="10"/>
  <c r="U51" i="10"/>
  <c r="G60" i="10"/>
  <c r="H63" i="10"/>
  <c r="U64" i="10"/>
  <c r="I67" i="10"/>
  <c r="W67" i="10"/>
  <c r="G67" i="10"/>
  <c r="U67" i="10"/>
  <c r="W68" i="10"/>
  <c r="F6" i="2"/>
  <c r="J6" i="9"/>
  <c r="D48" i="10"/>
  <c r="D51" i="10"/>
  <c r="J63" i="10"/>
  <c r="D64" i="10"/>
  <c r="D67" i="10"/>
  <c r="C6" i="11"/>
  <c r="F7" i="2"/>
  <c r="C37" i="11"/>
  <c r="H17" i="5"/>
  <c r="D21" i="5"/>
  <c r="D28" i="5"/>
  <c r="H38" i="5"/>
  <c r="B7" i="9"/>
  <c r="W69" i="10"/>
  <c r="U69" i="10"/>
  <c r="F8" i="2"/>
  <c r="G42" i="5"/>
  <c r="D68" i="10"/>
  <c r="Q68" i="10" s="1"/>
  <c r="E69" i="10"/>
  <c r="F5" i="4"/>
  <c r="I48" i="10"/>
  <c r="I49" i="10"/>
  <c r="W49" i="10"/>
  <c r="G49" i="10"/>
  <c r="U49" i="10"/>
  <c r="I64" i="10"/>
  <c r="O64" i="10" s="1"/>
  <c r="I65" i="10"/>
  <c r="W65" i="10"/>
  <c r="G65" i="10"/>
  <c r="U65" i="10"/>
  <c r="E68" i="10"/>
  <c r="I69" i="10"/>
  <c r="F6" i="4"/>
  <c r="H25" i="5"/>
  <c r="D29" i="5"/>
  <c r="J69" i="10"/>
  <c r="H37" i="5"/>
  <c r="D35" i="5"/>
  <c r="H29" i="5"/>
  <c r="D27" i="5"/>
  <c r="H21" i="5"/>
  <c r="S9" i="10" s="1"/>
  <c r="D19" i="5"/>
  <c r="F19" i="5" s="1"/>
  <c r="C12" i="5"/>
  <c r="C11" i="5"/>
  <c r="H22" i="5"/>
  <c r="S10" i="10" s="1"/>
  <c r="H32" i="5"/>
  <c r="H39" i="5"/>
  <c r="S27" i="10" s="1"/>
  <c r="C63" i="6"/>
  <c r="D4" i="9"/>
  <c r="E4" i="9"/>
  <c r="M33" i="10" l="1"/>
  <c r="N18" i="10"/>
  <c r="F32" i="5"/>
  <c r="F21" i="5"/>
  <c r="F27" i="5"/>
  <c r="N11" i="10"/>
  <c r="E12" i="5"/>
  <c r="C9" i="6" s="1"/>
  <c r="N38" i="10"/>
  <c r="F40" i="5"/>
  <c r="N17" i="10"/>
  <c r="M26" i="10"/>
  <c r="F17" i="5"/>
  <c r="G17" i="5" s="1"/>
  <c r="M17" i="10"/>
  <c r="K31" i="10"/>
  <c r="F26" i="5"/>
  <c r="G26" i="5" s="1"/>
  <c r="F18" i="5"/>
  <c r="G18" i="5" s="1"/>
  <c r="Q26" i="10"/>
  <c r="F23" i="5"/>
  <c r="G23" i="5" s="1"/>
  <c r="F29" i="5"/>
  <c r="G29" i="5" s="1"/>
  <c r="M11" i="10"/>
  <c r="Q14" i="10"/>
  <c r="Q65" i="10"/>
  <c r="Q49" i="10"/>
  <c r="F41" i="5"/>
  <c r="G41" i="5" s="1"/>
  <c r="Q39" i="10"/>
  <c r="F22" i="5"/>
  <c r="G22" i="5" s="1"/>
  <c r="M16" i="10"/>
  <c r="M12" i="10"/>
  <c r="O46" i="10"/>
  <c r="N29" i="10"/>
  <c r="C8" i="11"/>
  <c r="C7" i="6" s="1"/>
  <c r="F24" i="5"/>
  <c r="G24" i="5" s="1"/>
  <c r="K29" i="10"/>
  <c r="O62" i="10"/>
  <c r="N34" i="10"/>
  <c r="N16" i="10"/>
  <c r="Q11" i="10"/>
  <c r="F28" i="5"/>
  <c r="G28" i="5" s="1"/>
  <c r="F33" i="5"/>
  <c r="G33" i="5" s="1"/>
  <c r="M49" i="10"/>
  <c r="Q18" i="10"/>
  <c r="N65" i="10"/>
  <c r="F35" i="5"/>
  <c r="Q29" i="10"/>
  <c r="M31" i="10"/>
  <c r="N12" i="10"/>
  <c r="Q12" i="10"/>
  <c r="N24" i="10"/>
  <c r="M62" i="10"/>
  <c r="L65" i="10"/>
  <c r="L49" i="10"/>
  <c r="N49" i="10"/>
  <c r="M46" i="10"/>
  <c r="O6" i="10"/>
  <c r="O36" i="10"/>
  <c r="F37" i="5"/>
  <c r="G37" i="5" s="1"/>
  <c r="O10" i="10"/>
  <c r="O14" i="10"/>
  <c r="Q46" i="10"/>
  <c r="O5" i="10"/>
  <c r="G32" i="5"/>
  <c r="M24" i="10"/>
  <c r="O8" i="10"/>
  <c r="O22" i="10"/>
  <c r="M20" i="10"/>
  <c r="H5" i="9"/>
  <c r="F20" i="5"/>
  <c r="G20" i="5" s="1"/>
  <c r="N6" i="10"/>
  <c r="M34" i="10"/>
  <c r="M6" i="10"/>
  <c r="Q6" i="10"/>
  <c r="N8" i="10"/>
  <c r="M8" i="10"/>
  <c r="N33" i="10"/>
  <c r="E5" i="9"/>
  <c r="E11" i="5"/>
  <c r="O12" i="10"/>
  <c r="G5" i="9"/>
  <c r="O28" i="10"/>
  <c r="F25" i="5"/>
  <c r="G25" i="5" s="1"/>
  <c r="F34" i="5"/>
  <c r="G34" i="5" s="1"/>
  <c r="O34" i="10"/>
  <c r="F5" i="9"/>
  <c r="J5" i="9"/>
  <c r="I5" i="9"/>
  <c r="Q8" i="10"/>
  <c r="O20" i="10"/>
  <c r="M65" i="10"/>
  <c r="O30" i="10"/>
  <c r="O16" i="10"/>
  <c r="O65" i="10"/>
  <c r="F38" i="5"/>
  <c r="G38" i="5" s="1"/>
  <c r="Q34" i="10"/>
  <c r="N43" i="10"/>
  <c r="K20" i="10"/>
  <c r="O18" i="10"/>
  <c r="O41" i="10"/>
  <c r="N10" i="10"/>
  <c r="Q25" i="10"/>
  <c r="N62" i="10"/>
  <c r="K62" i="10"/>
  <c r="O49" i="10"/>
  <c r="O21" i="10"/>
  <c r="O59" i="10"/>
  <c r="O60" i="10"/>
  <c r="G30" i="5"/>
  <c r="M37" i="10"/>
  <c r="K37" i="10"/>
  <c r="K45" i="10"/>
  <c r="N45" i="10"/>
  <c r="M45" i="10"/>
  <c r="O48" i="10"/>
  <c r="O61" i="10"/>
  <c r="N37" i="10"/>
  <c r="L37" i="10"/>
  <c r="O31" i="10"/>
  <c r="O25" i="10"/>
  <c r="N20" i="10"/>
  <c r="K10" i="10"/>
  <c r="M10" i="10"/>
  <c r="O35" i="10"/>
  <c r="Q20" i="10"/>
  <c r="T5" i="10"/>
  <c r="O51" i="10"/>
  <c r="O56" i="10"/>
  <c r="M14" i="10"/>
  <c r="K14" i="10"/>
  <c r="O43" i="10"/>
  <c r="O52" i="10"/>
  <c r="M18" i="10"/>
  <c r="K18" i="10"/>
  <c r="N46" i="10"/>
  <c r="K46" i="10"/>
  <c r="S17" i="10"/>
  <c r="O40" i="10"/>
  <c r="N44" i="10"/>
  <c r="M44" i="10"/>
  <c r="L44" i="10"/>
  <c r="Q43" i="10"/>
  <c r="O29" i="10"/>
  <c r="G40" i="5"/>
  <c r="S25" i="10"/>
  <c r="O63" i="10"/>
  <c r="O58" i="10"/>
  <c r="K13" i="10"/>
  <c r="M13" i="10"/>
  <c r="N13" i="10"/>
  <c r="Q13" i="10"/>
  <c r="O13" i="10"/>
  <c r="O42" i="10"/>
  <c r="Q42" i="10"/>
  <c r="Q41" i="10"/>
  <c r="N41" i="10"/>
  <c r="K41" i="10"/>
  <c r="M41" i="10"/>
  <c r="Q31" i="10"/>
  <c r="C39" i="11"/>
  <c r="C62" i="6"/>
  <c r="L39" i="10"/>
  <c r="N39" i="10"/>
  <c r="Q55" i="10"/>
  <c r="N55" i="10"/>
  <c r="K55" i="10"/>
  <c r="M55" i="10"/>
  <c r="M43" i="10"/>
  <c r="M28" i="10"/>
  <c r="O11" i="10"/>
  <c r="M38" i="10"/>
  <c r="L38" i="10"/>
  <c r="O26" i="10"/>
  <c r="N35" i="10"/>
  <c r="M35" i="10"/>
  <c r="K35" i="10"/>
  <c r="Q35" i="10"/>
  <c r="M25" i="10"/>
  <c r="N28" i="10"/>
  <c r="K67" i="10"/>
  <c r="Q67" i="10"/>
  <c r="N67" i="10"/>
  <c r="M67" i="10"/>
  <c r="O37" i="10"/>
  <c r="O55" i="10"/>
  <c r="N59" i="10"/>
  <c r="M59" i="10"/>
  <c r="K59" i="10"/>
  <c r="Q59" i="10"/>
  <c r="N57" i="10"/>
  <c r="M57" i="10"/>
  <c r="Q57" i="10"/>
  <c r="K57" i="10"/>
  <c r="G27" i="5"/>
  <c r="K19" i="10"/>
  <c r="M19" i="10"/>
  <c r="Q19" i="10"/>
  <c r="N19" i="10"/>
  <c r="L9" i="10"/>
  <c r="M9" i="10"/>
  <c r="N9" i="10"/>
  <c r="S20" i="10"/>
  <c r="N25" i="10"/>
  <c r="S13" i="10"/>
  <c r="Q64" i="10"/>
  <c r="N64" i="10"/>
  <c r="M64" i="10"/>
  <c r="K64" i="10"/>
  <c r="Q66" i="10"/>
  <c r="N66" i="10"/>
  <c r="M66" i="10"/>
  <c r="K66" i="10"/>
  <c r="O50" i="10"/>
  <c r="M39" i="10"/>
  <c r="N32" i="10"/>
  <c r="M32" i="10"/>
  <c r="K32" i="10"/>
  <c r="Q32" i="10"/>
  <c r="Q33" i="10"/>
  <c r="O33" i="10"/>
  <c r="L26" i="10"/>
  <c r="N26" i="10"/>
  <c r="O57" i="10"/>
  <c r="S24" i="10"/>
  <c r="G36" i="5"/>
  <c r="K15" i="10"/>
  <c r="Q15" i="10"/>
  <c r="N15" i="10"/>
  <c r="M15" i="10"/>
  <c r="N40" i="10"/>
  <c r="O7" i="10"/>
  <c r="O69" i="10"/>
  <c r="P69" i="10" s="1"/>
  <c r="T7" i="10"/>
  <c r="S22" i="10"/>
  <c r="S6" i="10"/>
  <c r="Q53" i="10"/>
  <c r="K53" i="10"/>
  <c r="N53" i="10"/>
  <c r="M53" i="10"/>
  <c r="Q40" i="10"/>
  <c r="Q27" i="10"/>
  <c r="N27" i="10"/>
  <c r="K27" i="10"/>
  <c r="M27" i="10"/>
  <c r="M42" i="10"/>
  <c r="K21" i="10"/>
  <c r="Q21" i="10"/>
  <c r="N21" i="10"/>
  <c r="M21" i="10"/>
  <c r="G39" i="5"/>
  <c r="Q22" i="10"/>
  <c r="N22" i="10"/>
  <c r="M22" i="10"/>
  <c r="K22" i="10"/>
  <c r="K51" i="10"/>
  <c r="Q51" i="10"/>
  <c r="N51" i="10"/>
  <c r="M51" i="10"/>
  <c r="N63" i="10"/>
  <c r="Q63" i="10"/>
  <c r="M63" i="10"/>
  <c r="K63" i="10"/>
  <c r="Q48" i="10"/>
  <c r="N48" i="10"/>
  <c r="M48" i="10"/>
  <c r="K48" i="10"/>
  <c r="Q60" i="10"/>
  <c r="N60" i="10"/>
  <c r="M60" i="10"/>
  <c r="K60" i="10"/>
  <c r="Q58" i="10"/>
  <c r="N58" i="10"/>
  <c r="M58" i="10"/>
  <c r="K58" i="10"/>
  <c r="L30" i="10"/>
  <c r="N30" i="10"/>
  <c r="M30" i="10"/>
  <c r="O66" i="10"/>
  <c r="N47" i="10"/>
  <c r="M47" i="10"/>
  <c r="K47" i="10"/>
  <c r="Q47" i="10"/>
  <c r="G19" i="5"/>
  <c r="S7" i="10"/>
  <c r="Q30" i="10"/>
  <c r="N42" i="10"/>
  <c r="S29" i="10"/>
  <c r="O39" i="10"/>
  <c r="Q54" i="10"/>
  <c r="K54" i="10"/>
  <c r="N54" i="10"/>
  <c r="M54" i="10"/>
  <c r="O47" i="10"/>
  <c r="Q56" i="10"/>
  <c r="K56" i="10"/>
  <c r="N56" i="10"/>
  <c r="M56" i="10"/>
  <c r="G31" i="5"/>
  <c r="S19" i="10"/>
  <c r="O19" i="10"/>
  <c r="O32" i="10"/>
  <c r="O27" i="10"/>
  <c r="M40" i="10"/>
  <c r="M5" i="10"/>
  <c r="K7" i="10"/>
  <c r="Q7" i="10"/>
  <c r="N7" i="10"/>
  <c r="M7" i="10"/>
  <c r="S5" i="10"/>
  <c r="O38" i="10"/>
  <c r="Q38" i="10"/>
  <c r="O44" i="10"/>
  <c r="Q37" i="10"/>
  <c r="Q9" i="10"/>
  <c r="O9" i="10"/>
  <c r="O23" i="10"/>
  <c r="Q5" i="10"/>
  <c r="S18" i="10"/>
  <c r="N61" i="10"/>
  <c r="Q61" i="10"/>
  <c r="M61" i="10"/>
  <c r="K61" i="10"/>
  <c r="Q50" i="10"/>
  <c r="N50" i="10"/>
  <c r="M50" i="10"/>
  <c r="K50" i="10"/>
  <c r="Q52" i="10"/>
  <c r="N52" i="10"/>
  <c r="M52" i="10"/>
  <c r="K52" i="10"/>
  <c r="N5" i="10"/>
  <c r="G21" i="5"/>
  <c r="B8" i="9"/>
  <c r="C7" i="9"/>
  <c r="O54" i="10"/>
  <c r="O24" i="10"/>
  <c r="Q24" i="10"/>
  <c r="Q44" i="10"/>
  <c r="S28" i="10"/>
  <c r="O53" i="10"/>
  <c r="O17" i="10"/>
  <c r="Q17" i="10"/>
  <c r="O15" i="10"/>
  <c r="Q45" i="10"/>
  <c r="O45" i="10"/>
  <c r="S26" i="10"/>
  <c r="O67" i="10"/>
  <c r="K36" i="10"/>
  <c r="Q36" i="10"/>
  <c r="N36" i="10"/>
  <c r="M36" i="10"/>
  <c r="G35" i="5"/>
  <c r="S8" i="10"/>
  <c r="N23" i="10"/>
  <c r="M23" i="10"/>
  <c r="Q23" i="10"/>
  <c r="K23" i="10"/>
  <c r="P17" i="10" l="1"/>
  <c r="D37" i="11"/>
  <c r="P11" i="10"/>
  <c r="P29" i="10"/>
  <c r="D38" i="11"/>
  <c r="P8" i="10"/>
  <c r="P16" i="10"/>
  <c r="P24" i="10"/>
  <c r="P31" i="10"/>
  <c r="P34" i="10"/>
  <c r="P12" i="10"/>
  <c r="P65" i="10"/>
  <c r="P6" i="10"/>
  <c r="P14" i="10"/>
  <c r="P49" i="10"/>
  <c r="T6" i="10"/>
  <c r="X6" i="10" s="1"/>
  <c r="Y6" i="10" s="1"/>
  <c r="P46" i="10"/>
  <c r="P45" i="10"/>
  <c r="P62" i="10"/>
  <c r="P33" i="10"/>
  <c r="P61" i="10"/>
  <c r="P35" i="10"/>
  <c r="P48" i="10"/>
  <c r="P10" i="10"/>
  <c r="P42" i="10"/>
  <c r="P37" i="10"/>
  <c r="P28" i="10"/>
  <c r="P23" i="10"/>
  <c r="P26" i="10"/>
  <c r="P18" i="10"/>
  <c r="P59" i="10"/>
  <c r="P38" i="10"/>
  <c r="P63" i="10"/>
  <c r="P21" i="10"/>
  <c r="P5" i="10"/>
  <c r="P43" i="10"/>
  <c r="P40" i="10"/>
  <c r="P36" i="10"/>
  <c r="P20" i="10"/>
  <c r="P52" i="10"/>
  <c r="P51" i="10"/>
  <c r="P25" i="10"/>
  <c r="P22" i="10"/>
  <c r="P64" i="10"/>
  <c r="P53" i="10"/>
  <c r="P9" i="10"/>
  <c r="D39" i="11"/>
  <c r="E39" i="11" s="1"/>
  <c r="D62" i="6"/>
  <c r="P56" i="10"/>
  <c r="P67" i="10"/>
  <c r="P41" i="10"/>
  <c r="P19" i="10"/>
  <c r="P57" i="10"/>
  <c r="P55" i="10"/>
  <c r="J7" i="9"/>
  <c r="I7" i="9"/>
  <c r="H7" i="9"/>
  <c r="G7" i="9"/>
  <c r="F7" i="9"/>
  <c r="E7" i="9"/>
  <c r="D7" i="9"/>
  <c r="B9" i="9"/>
  <c r="C8" i="9"/>
  <c r="P54" i="10"/>
  <c r="P30" i="10"/>
  <c r="P32" i="10"/>
  <c r="P58" i="10"/>
  <c r="P27" i="10"/>
  <c r="P39" i="10"/>
  <c r="P44" i="10"/>
  <c r="P47" i="10"/>
  <c r="P7" i="10"/>
  <c r="X5" i="10"/>
  <c r="E37" i="11"/>
  <c r="P15" i="10"/>
  <c r="F37" i="11"/>
  <c r="G37" i="11" s="1"/>
  <c r="E38" i="11"/>
  <c r="D63" i="6"/>
  <c r="F38" i="11"/>
  <c r="G38" i="11" s="1"/>
  <c r="X7" i="10"/>
  <c r="P50" i="10"/>
  <c r="P60" i="10"/>
  <c r="P66" i="10"/>
  <c r="C64" i="6"/>
  <c r="P13" i="10"/>
  <c r="T8" i="10" l="1"/>
  <c r="X8" i="10" s="1"/>
  <c r="Y8" i="10" s="1"/>
  <c r="G39" i="11"/>
  <c r="Y5" i="10"/>
  <c r="Z5" i="10" s="1"/>
  <c r="Z6" i="10" s="1"/>
  <c r="C9" i="9"/>
  <c r="B10" i="9"/>
  <c r="F39" i="11"/>
  <c r="D64" i="6"/>
  <c r="Y7" i="10"/>
  <c r="J8" i="9"/>
  <c r="G8" i="9"/>
  <c r="F8" i="9"/>
  <c r="D8" i="9"/>
  <c r="I8" i="9"/>
  <c r="H8" i="9"/>
  <c r="E8" i="9"/>
  <c r="Z7" i="10" l="1"/>
  <c r="Z8" i="10" s="1"/>
  <c r="T9" i="10"/>
  <c r="X9" i="10" s="1"/>
  <c r="Y9" i="10" s="1"/>
  <c r="I9" i="9"/>
  <c r="H9" i="9"/>
  <c r="G9" i="9"/>
  <c r="F9" i="9"/>
  <c r="E9" i="9"/>
  <c r="D9" i="9"/>
  <c r="J9" i="9"/>
  <c r="B11" i="9"/>
  <c r="C10" i="9"/>
  <c r="Z9" i="10" l="1"/>
  <c r="J10" i="9"/>
  <c r="H10" i="9"/>
  <c r="E10" i="9"/>
  <c r="D10" i="9"/>
  <c r="I10" i="9"/>
  <c r="G10" i="9"/>
  <c r="F10" i="9"/>
  <c r="T11" i="10" s="1"/>
  <c r="X11" i="10" s="1"/>
  <c r="Y11" i="10" s="1"/>
  <c r="C11" i="9"/>
  <c r="B12" i="9"/>
  <c r="T10" i="10"/>
  <c r="X10" i="10" s="1"/>
  <c r="Y10" i="10" s="1"/>
  <c r="Z10" i="10" s="1"/>
  <c r="Z11" i="10" l="1"/>
  <c r="B13" i="9"/>
  <c r="C12" i="9"/>
  <c r="G11" i="9"/>
  <c r="F11" i="9"/>
  <c r="E11" i="9"/>
  <c r="D11" i="9"/>
  <c r="I11" i="9"/>
  <c r="J11" i="9"/>
  <c r="H11" i="9"/>
  <c r="T12" i="10" l="1"/>
  <c r="X12" i="10" s="1"/>
  <c r="Y12" i="10" s="1"/>
  <c r="Z12" i="10" s="1"/>
  <c r="J12" i="9"/>
  <c r="I12" i="9"/>
  <c r="H12" i="9"/>
  <c r="F12" i="9"/>
  <c r="G12" i="9"/>
  <c r="E12" i="9"/>
  <c r="D12" i="9"/>
  <c r="C13" i="9"/>
  <c r="B14" i="9"/>
  <c r="T13" i="10" l="1"/>
  <c r="X13" i="10" s="1"/>
  <c r="Y13" i="10" s="1"/>
  <c r="Z13" i="10" s="1"/>
  <c r="E13" i="9"/>
  <c r="D13" i="9"/>
  <c r="J13" i="9"/>
  <c r="I13" i="9"/>
  <c r="G13" i="9"/>
  <c r="H13" i="9"/>
  <c r="F13" i="9"/>
  <c r="B15" i="9"/>
  <c r="C14" i="9"/>
  <c r="T14" i="10" l="1"/>
  <c r="X14" i="10" s="1"/>
  <c r="Y14" i="10" s="1"/>
  <c r="Z14" i="10" s="1"/>
  <c r="J14" i="9"/>
  <c r="I14" i="9"/>
  <c r="H14" i="9"/>
  <c r="G14" i="9"/>
  <c r="F14" i="9"/>
  <c r="D14" i="9"/>
  <c r="E14" i="9"/>
  <c r="C15" i="9"/>
  <c r="B16" i="9"/>
  <c r="T15" i="10" l="1"/>
  <c r="X15" i="10" s="1"/>
  <c r="Y15" i="10" s="1"/>
  <c r="Z15" i="10" s="1"/>
  <c r="H15" i="9"/>
  <c r="G15" i="9"/>
  <c r="E15" i="9"/>
  <c r="D15" i="9"/>
  <c r="J15" i="9"/>
  <c r="I15" i="9"/>
  <c r="F15" i="9"/>
  <c r="B17" i="9"/>
  <c r="C16" i="9"/>
  <c r="T16" i="10" l="1"/>
  <c r="X16" i="10" s="1"/>
  <c r="Y16" i="10" s="1"/>
  <c r="Z16" i="10" s="1"/>
  <c r="J16" i="9"/>
  <c r="I16" i="9"/>
  <c r="H16" i="9"/>
  <c r="G16" i="9"/>
  <c r="F16" i="9"/>
  <c r="E16" i="9"/>
  <c r="D16" i="9"/>
  <c r="B18" i="9"/>
  <c r="C17" i="9"/>
  <c r="T17" i="10" l="1"/>
  <c r="X17" i="10" s="1"/>
  <c r="Y17" i="10" s="1"/>
  <c r="Z17" i="10" s="1"/>
  <c r="I17" i="9"/>
  <c r="F17" i="9"/>
  <c r="E17" i="9"/>
  <c r="J17" i="9"/>
  <c r="H17" i="9"/>
  <c r="G17" i="9"/>
  <c r="D17" i="9"/>
  <c r="C18" i="9"/>
  <c r="B19" i="9"/>
  <c r="B20" i="9" l="1"/>
  <c r="C19" i="9"/>
  <c r="H18" i="9"/>
  <c r="G18" i="9"/>
  <c r="F18" i="9"/>
  <c r="E18" i="9"/>
  <c r="D18" i="9"/>
  <c r="J18" i="9"/>
  <c r="I18" i="9"/>
  <c r="T18" i="10"/>
  <c r="X18" i="10" s="1"/>
  <c r="Y18" i="10" s="1"/>
  <c r="Z18" i="10" s="1"/>
  <c r="T19" i="10" l="1"/>
  <c r="X19" i="10" s="1"/>
  <c r="Y19" i="10" s="1"/>
  <c r="Z19" i="10" s="1"/>
  <c r="J19" i="9"/>
  <c r="I19" i="9"/>
  <c r="G19" i="9"/>
  <c r="D19" i="9"/>
  <c r="H19" i="9"/>
  <c r="F19" i="9"/>
  <c r="E19" i="9"/>
  <c r="C20" i="9"/>
  <c r="B21" i="9"/>
  <c r="T20" i="10" l="1"/>
  <c r="X20" i="10" s="1"/>
  <c r="Y20" i="10" s="1"/>
  <c r="Z20" i="10" s="1"/>
  <c r="B22" i="9"/>
  <c r="C21" i="9"/>
  <c r="F20" i="9"/>
  <c r="E20" i="9"/>
  <c r="D20" i="9"/>
  <c r="J20" i="9"/>
  <c r="H20" i="9"/>
  <c r="I20" i="9"/>
  <c r="G20" i="9"/>
  <c r="J21" i="9" l="1"/>
  <c r="I21" i="9"/>
  <c r="H21" i="9"/>
  <c r="G21" i="9"/>
  <c r="E21" i="9"/>
  <c r="F21" i="9"/>
  <c r="T22" i="10" s="1"/>
  <c r="X22" i="10" s="1"/>
  <c r="Y22" i="10" s="1"/>
  <c r="D21" i="9"/>
  <c r="T21" i="10"/>
  <c r="X21" i="10" s="1"/>
  <c r="Y21" i="10" s="1"/>
  <c r="Z21" i="10" s="1"/>
  <c r="C22" i="9"/>
  <c r="B23" i="9"/>
  <c r="B24" i="9" l="1"/>
  <c r="C23" i="9"/>
  <c r="D22" i="9"/>
  <c r="I22" i="9"/>
  <c r="H22" i="9"/>
  <c r="F22" i="9"/>
  <c r="J22" i="9"/>
  <c r="G22" i="9"/>
  <c r="E22" i="9"/>
  <c r="Z22" i="10"/>
  <c r="T23" i="10" l="1"/>
  <c r="X23" i="10" s="1"/>
  <c r="Y23" i="10" s="1"/>
  <c r="Z23" i="10" s="1"/>
  <c r="J23" i="9"/>
  <c r="I23" i="9"/>
  <c r="H23" i="9"/>
  <c r="G23" i="9"/>
  <c r="F23" i="9"/>
  <c r="E23" i="9"/>
  <c r="D23" i="9"/>
  <c r="B25" i="9"/>
  <c r="C24" i="9"/>
  <c r="T24" i="10" l="1"/>
  <c r="X24" i="10" s="1"/>
  <c r="Y24" i="10" s="1"/>
  <c r="Z24" i="10" s="1"/>
  <c r="J24" i="9"/>
  <c r="G24" i="9"/>
  <c r="F24" i="9"/>
  <c r="D24" i="9"/>
  <c r="I24" i="9"/>
  <c r="H24" i="9"/>
  <c r="E24" i="9"/>
  <c r="C25" i="9"/>
  <c r="B26" i="9"/>
  <c r="T25" i="10" l="1"/>
  <c r="X25" i="10" s="1"/>
  <c r="Y25" i="10" s="1"/>
  <c r="Z25" i="10" s="1"/>
  <c r="B27" i="9"/>
  <c r="C26" i="9"/>
  <c r="I25" i="9"/>
  <c r="H25" i="9"/>
  <c r="G25" i="9"/>
  <c r="F25" i="9"/>
  <c r="E25" i="9"/>
  <c r="D25" i="9"/>
  <c r="J25" i="9"/>
  <c r="T26" i="10" l="1"/>
  <c r="X26" i="10" s="1"/>
  <c r="Y26" i="10" s="1"/>
  <c r="Z26" i="10" s="1"/>
  <c r="J26" i="9"/>
  <c r="H26" i="9"/>
  <c r="E26" i="9"/>
  <c r="D26" i="9"/>
  <c r="F26" i="9"/>
  <c r="I26" i="9"/>
  <c r="G26" i="9"/>
  <c r="C27" i="9"/>
  <c r="B28" i="9"/>
  <c r="G27" i="9" l="1"/>
  <c r="F27" i="9"/>
  <c r="E27" i="9"/>
  <c r="D27" i="9"/>
  <c r="I27" i="9"/>
  <c r="J27" i="9"/>
  <c r="H27" i="9"/>
  <c r="T27" i="10"/>
  <c r="X27" i="10" s="1"/>
  <c r="Y27" i="10" s="1"/>
  <c r="Z27" i="10" s="1"/>
  <c r="B29" i="9"/>
  <c r="C28" i="9"/>
  <c r="C29" i="9" l="1"/>
  <c r="B30" i="9"/>
  <c r="J28" i="9"/>
  <c r="I28" i="9"/>
  <c r="H28" i="9"/>
  <c r="F28" i="9"/>
  <c r="G28" i="9"/>
  <c r="E28" i="9"/>
  <c r="D28" i="9"/>
  <c r="T28" i="10"/>
  <c r="X28" i="10" s="1"/>
  <c r="Y28" i="10" s="1"/>
  <c r="Z28" i="10" s="1"/>
  <c r="T29" i="10" l="1"/>
  <c r="X29" i="10" s="1"/>
  <c r="Y29" i="10" s="1"/>
  <c r="Z29" i="10" s="1"/>
  <c r="E29" i="9"/>
  <c r="D29" i="9"/>
  <c r="J29" i="9"/>
  <c r="I29" i="9"/>
  <c r="G29" i="9"/>
  <c r="H29" i="9"/>
  <c r="F29" i="9"/>
  <c r="B31" i="9"/>
  <c r="C30" i="9"/>
  <c r="C31" i="9" l="1"/>
  <c r="B32" i="9"/>
  <c r="T30" i="10"/>
  <c r="X30" i="10" s="1"/>
  <c r="Y30" i="10" s="1"/>
  <c r="Z30" i="10" s="1"/>
  <c r="J30" i="9"/>
  <c r="I30" i="9"/>
  <c r="H30" i="9"/>
  <c r="G30" i="9"/>
  <c r="F30" i="9"/>
  <c r="D30" i="9"/>
  <c r="E30" i="9"/>
  <c r="T31" i="10" l="1"/>
  <c r="X31" i="10" s="1"/>
  <c r="Y31" i="10" s="1"/>
  <c r="Z31" i="10" s="1"/>
  <c r="B33" i="9"/>
  <c r="C32" i="9"/>
  <c r="H31" i="9"/>
  <c r="G31" i="9"/>
  <c r="E31" i="9"/>
  <c r="J31" i="9"/>
  <c r="I31" i="9"/>
  <c r="F31" i="9"/>
  <c r="D31" i="9"/>
  <c r="T32" i="10" l="1"/>
  <c r="X32" i="10" s="1"/>
  <c r="Y32" i="10" s="1"/>
  <c r="Z32" i="10" s="1"/>
  <c r="J32" i="9"/>
  <c r="I32" i="9"/>
  <c r="H32" i="9"/>
  <c r="G32" i="9"/>
  <c r="F32" i="9"/>
  <c r="E32" i="9"/>
  <c r="D32" i="9"/>
  <c r="B34" i="9"/>
  <c r="C33" i="9"/>
  <c r="T33" i="10" l="1"/>
  <c r="X33" i="10" s="1"/>
  <c r="Y33" i="10" s="1"/>
  <c r="Z33" i="10" s="1"/>
  <c r="I33" i="9"/>
  <c r="F33" i="9"/>
  <c r="E33" i="9"/>
  <c r="J33" i="9"/>
  <c r="H33" i="9"/>
  <c r="G33" i="9"/>
  <c r="D33" i="9"/>
  <c r="C34" i="9"/>
  <c r="B35" i="9"/>
  <c r="B36" i="9" l="1"/>
  <c r="C35" i="9"/>
  <c r="T34" i="10"/>
  <c r="X34" i="10" s="1"/>
  <c r="Y34" i="10" s="1"/>
  <c r="Z34" i="10" s="1"/>
  <c r="H34" i="9"/>
  <c r="G34" i="9"/>
  <c r="F34" i="9"/>
  <c r="E34" i="9"/>
  <c r="D34" i="9"/>
  <c r="J34" i="9"/>
  <c r="I34" i="9"/>
  <c r="T35" i="10" l="1"/>
  <c r="X35" i="10" s="1"/>
  <c r="Y35" i="10" s="1"/>
  <c r="Z35" i="10" s="1"/>
  <c r="J35" i="9"/>
  <c r="I35" i="9"/>
  <c r="G35" i="9"/>
  <c r="D35" i="9"/>
  <c r="H35" i="9"/>
  <c r="F35" i="9"/>
  <c r="E35" i="9"/>
  <c r="C36" i="9"/>
  <c r="B37" i="9"/>
  <c r="T36" i="10" l="1"/>
  <c r="X36" i="10" s="1"/>
  <c r="Y36" i="10" s="1"/>
  <c r="Z36" i="10" s="1"/>
  <c r="B38" i="9"/>
  <c r="C37" i="9"/>
  <c r="F36" i="9"/>
  <c r="E36" i="9"/>
  <c r="D36" i="9"/>
  <c r="J36" i="9"/>
  <c r="H36" i="9"/>
  <c r="I36" i="9"/>
  <c r="G36" i="9"/>
  <c r="T37" i="10" l="1"/>
  <c r="X37" i="10" s="1"/>
  <c r="Y37" i="10" s="1"/>
  <c r="Z37" i="10" s="1"/>
  <c r="J37" i="9"/>
  <c r="I37" i="9"/>
  <c r="H37" i="9"/>
  <c r="G37" i="9"/>
  <c r="E37" i="9"/>
  <c r="F37" i="9"/>
  <c r="D37" i="9"/>
  <c r="C38" i="9"/>
  <c r="B39" i="9"/>
  <c r="T38" i="10" l="1"/>
  <c r="X38" i="10" s="1"/>
  <c r="Y38" i="10" s="1"/>
  <c r="Z38" i="10" s="1"/>
  <c r="B40" i="9"/>
  <c r="C39" i="9"/>
  <c r="D38" i="9"/>
  <c r="I38" i="9"/>
  <c r="H38" i="9"/>
  <c r="F38" i="9"/>
  <c r="J38" i="9"/>
  <c r="G38" i="9"/>
  <c r="E38" i="9"/>
  <c r="T39" i="10" l="1"/>
  <c r="X39" i="10" s="1"/>
  <c r="Y39" i="10" s="1"/>
  <c r="Z39" i="10" s="1"/>
  <c r="J39" i="9"/>
  <c r="I39" i="9"/>
  <c r="H39" i="9"/>
  <c r="G39" i="9"/>
  <c r="F39" i="9"/>
  <c r="E39" i="9"/>
  <c r="D39" i="9"/>
  <c r="B41" i="9"/>
  <c r="C40" i="9"/>
  <c r="T40" i="10" l="1"/>
  <c r="X40" i="10" s="1"/>
  <c r="Y40" i="10" s="1"/>
  <c r="Z40" i="10" s="1"/>
  <c r="J40" i="9"/>
  <c r="G40" i="9"/>
  <c r="F40" i="9"/>
  <c r="D40" i="9"/>
  <c r="I40" i="9"/>
  <c r="H40" i="9"/>
  <c r="E40" i="9"/>
  <c r="C41" i="9"/>
  <c r="B42" i="9"/>
  <c r="I41" i="9" l="1"/>
  <c r="H41" i="9"/>
  <c r="G41" i="9"/>
  <c r="F41" i="9"/>
  <c r="E41" i="9"/>
  <c r="D41" i="9"/>
  <c r="J41" i="9"/>
  <c r="B43" i="9"/>
  <c r="C42" i="9"/>
  <c r="T41" i="10"/>
  <c r="X41" i="10" s="1"/>
  <c r="Y41" i="10" s="1"/>
  <c r="Z41" i="10" s="1"/>
  <c r="T42" i="10" l="1"/>
  <c r="X42" i="10" s="1"/>
  <c r="Y42" i="10" s="1"/>
  <c r="Z42" i="10" s="1"/>
  <c r="J42" i="9"/>
  <c r="H42" i="9"/>
  <c r="E42" i="9"/>
  <c r="D42" i="9"/>
  <c r="I42" i="9"/>
  <c r="G42" i="9"/>
  <c r="F42" i="9"/>
  <c r="C43" i="9"/>
  <c r="B44" i="9"/>
  <c r="T43" i="10" l="1"/>
  <c r="X43" i="10" s="1"/>
  <c r="Y43" i="10" s="1"/>
  <c r="Z43" i="10" s="1"/>
  <c r="G43" i="9"/>
  <c r="F43" i="9"/>
  <c r="E43" i="9"/>
  <c r="D43" i="9"/>
  <c r="I43" i="9"/>
  <c r="H43" i="9"/>
  <c r="J43" i="9"/>
  <c r="B45" i="9"/>
  <c r="C44" i="9"/>
  <c r="J44" i="9" l="1"/>
  <c r="I44" i="9"/>
  <c r="H44" i="9"/>
  <c r="F44" i="9"/>
  <c r="G44" i="9"/>
  <c r="E44" i="9"/>
  <c r="D44" i="9"/>
  <c r="C45" i="9"/>
  <c r="B46" i="9"/>
  <c r="T44" i="10"/>
  <c r="X44" i="10" s="1"/>
  <c r="Y44" i="10" s="1"/>
  <c r="Z44" i="10" s="1"/>
  <c r="T45" i="10" l="1"/>
  <c r="X45" i="10" s="1"/>
  <c r="Y45" i="10" s="1"/>
  <c r="Z45" i="10" s="1"/>
  <c r="B47" i="9"/>
  <c r="C46" i="9"/>
  <c r="E45" i="9"/>
  <c r="D45" i="9"/>
  <c r="J45" i="9"/>
  <c r="I45" i="9"/>
  <c r="G45" i="9"/>
  <c r="H45" i="9"/>
  <c r="F45" i="9"/>
  <c r="T46" i="10" l="1"/>
  <c r="X46" i="10" s="1"/>
  <c r="Y46" i="10" s="1"/>
  <c r="Z46" i="10" s="1"/>
  <c r="J46" i="9"/>
  <c r="I46" i="9"/>
  <c r="H46" i="9"/>
  <c r="G46" i="9"/>
  <c r="F46" i="9"/>
  <c r="D46" i="9"/>
  <c r="E46" i="9"/>
  <c r="C47" i="9"/>
  <c r="B48" i="9"/>
  <c r="B49" i="9" l="1"/>
  <c r="C48" i="9"/>
  <c r="H47" i="9"/>
  <c r="G47" i="9"/>
  <c r="E47" i="9"/>
  <c r="J47" i="9"/>
  <c r="I47" i="9"/>
  <c r="F47" i="9"/>
  <c r="T48" i="10" s="1"/>
  <c r="X48" i="10" s="1"/>
  <c r="Y48" i="10" s="1"/>
  <c r="D47" i="9"/>
  <c r="T47" i="10"/>
  <c r="X47" i="10" s="1"/>
  <c r="Y47" i="10" s="1"/>
  <c r="Z47" i="10" s="1"/>
  <c r="Z48" i="10" l="1"/>
  <c r="B50" i="9"/>
  <c r="C49" i="9"/>
  <c r="J48" i="9"/>
  <c r="I48" i="9"/>
  <c r="H48" i="9"/>
  <c r="G48" i="9"/>
  <c r="F48" i="9"/>
  <c r="T49" i="10" s="1"/>
  <c r="X49" i="10" s="1"/>
  <c r="Y49" i="10" s="1"/>
  <c r="Z49" i="10" s="1"/>
  <c r="E48" i="9"/>
  <c r="D48" i="9"/>
  <c r="I49" i="9" l="1"/>
  <c r="F49" i="9"/>
  <c r="E49" i="9"/>
  <c r="D49" i="9"/>
  <c r="J49" i="9"/>
  <c r="H49" i="9"/>
  <c r="G49" i="9"/>
  <c r="C50" i="9"/>
  <c r="B51" i="9"/>
  <c r="B52" i="9" l="1"/>
  <c r="C51" i="9"/>
  <c r="H50" i="9"/>
  <c r="G50" i="9"/>
  <c r="F50" i="9"/>
  <c r="E50" i="9"/>
  <c r="D50" i="9"/>
  <c r="J50" i="9"/>
  <c r="I50" i="9"/>
  <c r="T50" i="10"/>
  <c r="X50" i="10" s="1"/>
  <c r="Y50" i="10" s="1"/>
  <c r="Z50" i="10" s="1"/>
  <c r="T51" i="10" l="1"/>
  <c r="X51" i="10" s="1"/>
  <c r="Y51" i="10" s="1"/>
  <c r="Z51" i="10" s="1"/>
  <c r="J51" i="9"/>
  <c r="I51" i="9"/>
  <c r="G51" i="9"/>
  <c r="F51" i="9"/>
  <c r="D51" i="9"/>
  <c r="H51" i="9"/>
  <c r="E51" i="9"/>
  <c r="C52" i="9"/>
  <c r="B53" i="9"/>
  <c r="T52" i="10" l="1"/>
  <c r="X52" i="10" s="1"/>
  <c r="Y52" i="10" s="1"/>
  <c r="Z52" i="10" s="1"/>
  <c r="B54" i="9"/>
  <c r="C53" i="9"/>
  <c r="F52" i="9"/>
  <c r="E52" i="9"/>
  <c r="D52" i="9"/>
  <c r="J52" i="9"/>
  <c r="H52" i="9"/>
  <c r="I52" i="9"/>
  <c r="G52" i="9"/>
  <c r="T53" i="10" l="1"/>
  <c r="X53" i="10" s="1"/>
  <c r="Y53" i="10" s="1"/>
  <c r="Z53" i="10" s="1"/>
  <c r="J53" i="9"/>
  <c r="I53" i="9"/>
  <c r="H53" i="9"/>
  <c r="G53" i="9"/>
  <c r="E53" i="9"/>
  <c r="D53" i="9"/>
  <c r="F53" i="9"/>
  <c r="T54" i="10" s="1"/>
  <c r="X54" i="10" s="1"/>
  <c r="Y54" i="10" s="1"/>
  <c r="C54" i="9"/>
  <c r="B55" i="9"/>
  <c r="Z54" i="10" l="1"/>
  <c r="B56" i="9"/>
  <c r="C55" i="9"/>
  <c r="D54" i="9"/>
  <c r="I54" i="9"/>
  <c r="H54" i="9"/>
  <c r="F54" i="9"/>
  <c r="J54" i="9"/>
  <c r="G54" i="9"/>
  <c r="E54" i="9"/>
  <c r="T55" i="10" l="1"/>
  <c r="X55" i="10" s="1"/>
  <c r="Y55" i="10" s="1"/>
  <c r="Z55" i="10" s="1"/>
  <c r="C56" i="9"/>
  <c r="B57" i="9"/>
  <c r="J55" i="9"/>
  <c r="I55" i="9"/>
  <c r="H55" i="9"/>
  <c r="G55" i="9"/>
  <c r="F55" i="9"/>
  <c r="E55" i="9"/>
  <c r="D55" i="9"/>
  <c r="T56" i="10" l="1"/>
  <c r="X56" i="10" s="1"/>
  <c r="Y56" i="10" s="1"/>
  <c r="Z56" i="10" s="1"/>
  <c r="C57" i="9"/>
  <c r="B58" i="9"/>
  <c r="J56" i="9"/>
  <c r="I56" i="9"/>
  <c r="G56" i="9"/>
  <c r="F56" i="9"/>
  <c r="D56" i="9"/>
  <c r="H56" i="9"/>
  <c r="E56" i="9"/>
  <c r="T57" i="10" l="1"/>
  <c r="X57" i="10" s="1"/>
  <c r="Y57" i="10" s="1"/>
  <c r="Z57" i="10" s="1"/>
  <c r="I57" i="9"/>
  <c r="H57" i="9"/>
  <c r="G57" i="9"/>
  <c r="F57" i="9"/>
  <c r="E57" i="9"/>
  <c r="D57" i="9"/>
  <c r="J57" i="9"/>
  <c r="B59" i="9"/>
  <c r="C58" i="9"/>
  <c r="J58" i="9" l="1"/>
  <c r="H58" i="9"/>
  <c r="G58" i="9"/>
  <c r="E58" i="9"/>
  <c r="D58" i="9"/>
  <c r="I58" i="9"/>
  <c r="F58" i="9"/>
  <c r="T59" i="10" s="1"/>
  <c r="X59" i="10" s="1"/>
  <c r="Y59" i="10" s="1"/>
  <c r="C59" i="9"/>
  <c r="B60" i="9"/>
  <c r="T58" i="10"/>
  <c r="X58" i="10" s="1"/>
  <c r="Y58" i="10" s="1"/>
  <c r="Z58" i="10" s="1"/>
  <c r="Z59" i="10" l="1"/>
  <c r="B61" i="9"/>
  <c r="C60" i="9"/>
  <c r="G59" i="9"/>
  <c r="F59" i="9"/>
  <c r="E59" i="9"/>
  <c r="D59" i="9"/>
  <c r="I59" i="9"/>
  <c r="J59" i="9"/>
  <c r="H59" i="9"/>
  <c r="T60" i="10" l="1"/>
  <c r="X60" i="10" s="1"/>
  <c r="Y60" i="10" s="1"/>
  <c r="Z60" i="10" s="1"/>
  <c r="J60" i="9"/>
  <c r="I60" i="9"/>
  <c r="H60" i="9"/>
  <c r="F60" i="9"/>
  <c r="E60" i="9"/>
  <c r="G60" i="9"/>
  <c r="D60" i="9"/>
  <c r="C61" i="9"/>
  <c r="B62" i="9"/>
  <c r="E61" i="9" l="1"/>
  <c r="D61" i="9"/>
  <c r="J61" i="9"/>
  <c r="I61" i="9"/>
  <c r="G61" i="9"/>
  <c r="H61" i="9"/>
  <c r="F61" i="9"/>
  <c r="T62" i="10" s="1"/>
  <c r="X62" i="10" s="1"/>
  <c r="Y62" i="10" s="1"/>
  <c r="B63" i="9"/>
  <c r="C62" i="9"/>
  <c r="T61" i="10"/>
  <c r="X61" i="10" s="1"/>
  <c r="Y61" i="10" s="1"/>
  <c r="Z61" i="10" s="1"/>
  <c r="Z62" i="10" l="1"/>
  <c r="J62" i="9"/>
  <c r="I62" i="9"/>
  <c r="H62" i="9"/>
  <c r="G62" i="9"/>
  <c r="F62" i="9"/>
  <c r="D62" i="9"/>
  <c r="E62" i="9"/>
  <c r="C63" i="9"/>
  <c r="B64" i="9"/>
  <c r="T63" i="10" l="1"/>
  <c r="X63" i="10" s="1"/>
  <c r="Y63" i="10" s="1"/>
  <c r="Z63" i="10" s="1"/>
  <c r="B65" i="9"/>
  <c r="C64" i="9"/>
  <c r="J63" i="9"/>
  <c r="H63" i="9"/>
  <c r="G63" i="9"/>
  <c r="E63" i="9"/>
  <c r="D63" i="9"/>
  <c r="I63" i="9"/>
  <c r="F63" i="9"/>
  <c r="T64" i="10" l="1"/>
  <c r="X64" i="10" s="1"/>
  <c r="Y64" i="10" s="1"/>
  <c r="Z64" i="10" s="1"/>
  <c r="B66" i="9"/>
  <c r="C65" i="9"/>
  <c r="J64" i="9"/>
  <c r="I64" i="9"/>
  <c r="H64" i="9"/>
  <c r="G64" i="9"/>
  <c r="F64" i="9"/>
  <c r="E64" i="9"/>
  <c r="D64" i="9"/>
  <c r="T65" i="10" l="1"/>
  <c r="X65" i="10" s="1"/>
  <c r="Y65" i="10" s="1"/>
  <c r="Z65" i="10" s="1"/>
  <c r="I65" i="9"/>
  <c r="H65" i="9"/>
  <c r="F65" i="9"/>
  <c r="E65" i="9"/>
  <c r="J65" i="9"/>
  <c r="G65" i="9"/>
  <c r="D65" i="9"/>
  <c r="C66" i="9"/>
  <c r="B67" i="9"/>
  <c r="B68" i="9" l="1"/>
  <c r="C67" i="9"/>
  <c r="H66" i="9"/>
  <c r="G66" i="9"/>
  <c r="F66" i="9"/>
  <c r="E66" i="9"/>
  <c r="D66" i="9"/>
  <c r="J66" i="9"/>
  <c r="I66" i="9"/>
  <c r="T66" i="10"/>
  <c r="X66" i="10" s="1"/>
  <c r="Y66" i="10" s="1"/>
  <c r="Z66" i="10" s="1"/>
  <c r="T67" i="10" l="1"/>
  <c r="X67" i="10" s="1"/>
  <c r="Y67" i="10" s="1"/>
  <c r="Z67" i="10" s="1"/>
  <c r="J67" i="9"/>
  <c r="I67" i="9"/>
  <c r="G67" i="9"/>
  <c r="F67" i="9"/>
  <c r="D67" i="9"/>
  <c r="H67" i="9"/>
  <c r="E67" i="9"/>
  <c r="C68" i="9"/>
  <c r="B69" i="9"/>
  <c r="C69" i="9" s="1"/>
  <c r="J69" i="9" l="1"/>
  <c r="I69" i="9"/>
  <c r="H69" i="9"/>
  <c r="G69" i="9"/>
  <c r="E69" i="9"/>
  <c r="D69" i="9"/>
  <c r="F69" i="9"/>
  <c r="T70" i="10" s="1"/>
  <c r="X70" i="10" s="1"/>
  <c r="Y70" i="10" s="1"/>
  <c r="T68" i="10"/>
  <c r="X68" i="10" s="1"/>
  <c r="Y68" i="10" s="1"/>
  <c r="Z68" i="10" s="1"/>
  <c r="F68" i="9"/>
  <c r="E68" i="9"/>
  <c r="D68" i="9"/>
  <c r="J68" i="9"/>
  <c r="H68" i="9"/>
  <c r="I68" i="9"/>
  <c r="G68" i="9"/>
  <c r="T69" i="10" l="1"/>
  <c r="X69" i="10" s="1"/>
  <c r="Y69" i="10" s="1"/>
  <c r="Z69" i="10" s="1"/>
  <c r="Z70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None</author>
  </authors>
  <commentList>
    <comment ref="B38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C38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D38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F38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B39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C39" authorId="0" shapeId="0" xr:uid="{00000000-0006-0000-0200-000006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D39" authorId="0" shapeId="0" xr:uid="{00000000-0006-0000-0200-000007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F39" authorId="0" shapeId="0" xr:uid="{00000000-0006-0000-0200-000008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D40" authorId="0" shapeId="0" xr:uid="{00000000-0006-0000-0200-000009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D41" authorId="0" shapeId="0" xr:uid="{00000000-0006-0000-0200-00000A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B42" authorId="0" shapeId="0" xr:uid="{00000000-0006-0000-0200-00000B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C42" authorId="0" shapeId="0" xr:uid="{00000000-0006-0000-0200-00000C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D42" authorId="0" shapeId="0" xr:uid="{00000000-0006-0000-0200-00000D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E42" authorId="0" shapeId="0" xr:uid="{00000000-0006-0000-0200-00000E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F42" authorId="0" shapeId="0" xr:uid="{00000000-0006-0000-0200-00000F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B43" authorId="0" shapeId="0" xr:uid="{00000000-0006-0000-0200-000010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C43" authorId="0" shapeId="0" xr:uid="{00000000-0006-0000-0200-000011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D43" authorId="0" shapeId="0" xr:uid="{00000000-0006-0000-0200-000012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E43" authorId="0" shapeId="0" xr:uid="{00000000-0006-0000-0200-000013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F43" authorId="0" shapeId="0" xr:uid="{00000000-0006-0000-0200-000014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B44" authorId="0" shapeId="0" xr:uid="{00000000-0006-0000-0200-000015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C44" authorId="0" shapeId="0" xr:uid="{00000000-0006-0000-0200-000016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D44" authorId="0" shapeId="0" xr:uid="{00000000-0006-0000-0200-000017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E44" authorId="0" shapeId="0" xr:uid="{00000000-0006-0000-0200-000018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F44" authorId="0" shapeId="0" xr:uid="{00000000-0006-0000-0200-000019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B45" authorId="0" shapeId="0" xr:uid="{00000000-0006-0000-0200-00001A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C45" authorId="0" shapeId="0" xr:uid="{00000000-0006-0000-0200-00001B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D45" authorId="0" shapeId="0" xr:uid="{00000000-0006-0000-0200-00001C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E45" authorId="0" shapeId="0" xr:uid="{00000000-0006-0000-0200-00001D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F45" authorId="0" shapeId="0" xr:uid="{00000000-0006-0000-0200-00001E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B46" authorId="0" shapeId="0" xr:uid="{00000000-0006-0000-0200-00001F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C46" authorId="0" shapeId="0" xr:uid="{00000000-0006-0000-0200-000020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D46" authorId="0" shapeId="0" xr:uid="{00000000-0006-0000-0200-000021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E46" authorId="0" shapeId="0" xr:uid="{00000000-0006-0000-0200-000022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F46" authorId="0" shapeId="0" xr:uid="{00000000-0006-0000-0200-000023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B47" authorId="0" shapeId="0" xr:uid="{00000000-0006-0000-0200-000024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C47" authorId="0" shapeId="0" xr:uid="{00000000-0006-0000-0200-000025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D47" authorId="0" shapeId="0" xr:uid="{00000000-0006-0000-0200-000026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E47" authorId="0" shapeId="0" xr:uid="{00000000-0006-0000-0200-000027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F47" authorId="0" shapeId="0" xr:uid="{00000000-0006-0000-0200-000028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B50" authorId="0" shapeId="0" xr:uid="{00000000-0006-0000-0200-000029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C50" authorId="0" shapeId="0" xr:uid="{00000000-0006-0000-0200-00002A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D50" authorId="0" shapeId="0" xr:uid="{00000000-0006-0000-0200-00002B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E50" authorId="0" shapeId="0" xr:uid="{00000000-0006-0000-0200-00002C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F50" authorId="0" shapeId="0" xr:uid="{00000000-0006-0000-0200-00002D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B51" authorId="0" shapeId="0" xr:uid="{00000000-0006-0000-0200-00002E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C51" authorId="0" shapeId="0" xr:uid="{00000000-0006-0000-0200-00002F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D51" authorId="0" shapeId="0" xr:uid="{00000000-0006-0000-0200-000030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E51" authorId="0" shapeId="0" xr:uid="{00000000-0006-0000-0200-000031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F51" authorId="0" shapeId="0" xr:uid="{00000000-0006-0000-0200-000032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B52" authorId="0" shapeId="0" xr:uid="{00000000-0006-0000-0200-000033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C52" authorId="0" shapeId="0" xr:uid="{00000000-0006-0000-0200-000034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D52" authorId="0" shapeId="0" xr:uid="{00000000-0006-0000-0200-000035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E52" authorId="0" shapeId="0" xr:uid="{00000000-0006-0000-0200-000036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F52" authorId="0" shapeId="0" xr:uid="{00000000-0006-0000-0200-000037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B53" authorId="0" shapeId="0" xr:uid="{00000000-0006-0000-0200-000038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C53" authorId="0" shapeId="0" xr:uid="{00000000-0006-0000-0200-000039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D53" authorId="0" shapeId="0" xr:uid="{00000000-0006-0000-0200-00003A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E53" authorId="0" shapeId="0" xr:uid="{00000000-0006-0000-0200-00003B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F53" authorId="0" shapeId="0" xr:uid="{00000000-0006-0000-0200-00003C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B54" authorId="0" shapeId="0" xr:uid="{00000000-0006-0000-0200-00003D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C54" authorId="0" shapeId="0" xr:uid="{00000000-0006-0000-0200-00003E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D54" authorId="0" shapeId="0" xr:uid="{00000000-0006-0000-0200-00003F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E54" authorId="0" shapeId="0" xr:uid="{00000000-0006-0000-0200-000040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F54" authorId="0" shapeId="0" xr:uid="{00000000-0006-0000-0200-000041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B55" authorId="0" shapeId="0" xr:uid="{00000000-0006-0000-0200-000042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C55" authorId="0" shapeId="0" xr:uid="{00000000-0006-0000-0200-000043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D55" authorId="0" shapeId="0" xr:uid="{00000000-0006-0000-0200-000044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E55" authorId="0" shapeId="0" xr:uid="{00000000-0006-0000-0200-000045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F55" authorId="0" shapeId="0" xr:uid="{00000000-0006-0000-0200-000046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B56" authorId="0" shapeId="0" xr:uid="{00000000-0006-0000-0200-000047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C56" authorId="0" shapeId="0" xr:uid="{00000000-0006-0000-0200-000048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D56" authorId="0" shapeId="0" xr:uid="{00000000-0006-0000-0200-000049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E56" authorId="0" shapeId="0" xr:uid="{00000000-0006-0000-0200-00004A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F56" authorId="0" shapeId="0" xr:uid="{00000000-0006-0000-0200-00004B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B57" authorId="0" shapeId="0" xr:uid="{00000000-0006-0000-0200-00004C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C57" authorId="0" shapeId="0" xr:uid="{00000000-0006-0000-0200-00004D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D57" authorId="0" shapeId="0" xr:uid="{00000000-0006-0000-0200-00004E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E57" authorId="0" shapeId="0" xr:uid="{00000000-0006-0000-0200-00004F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  <comment ref="F57" authorId="0" shapeId="0" xr:uid="{00000000-0006-0000-0200-000050000000}">
      <text>
        <r>
          <rPr>
            <sz val="11"/>
            <color theme="1"/>
            <rFont val="Calibri"/>
            <family val="2"/>
            <scheme val="minor"/>
          </rPr>
          <t>出典：パーソルキャリア「dodaビジネスパーソンの平均年収レポート」
（集計期間：2024年9月〜2025年8月、登録者約60万人）
※業種・職種・年代によって変動するため参考値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None</author>
  </authors>
  <commentList>
    <comment ref="B5" authorId="0" shapeId="0" xr:uid="{00000000-0006-0000-0700-000001000000}">
      <text>
        <r>
          <rPr>
            <sz val="11"/>
            <color theme="1"/>
            <rFont val="Calibri"/>
            <family val="2"/>
            <scheme val="minor"/>
          </rPr>
          <t>ロングサポート生命（定期保険）
■ 種類：定期死亡保険
■ 契約者：夫（被保険者本人）
■ 保険金額：5,000万円
■ 年間保険料：24万円（月2万円）
■ 期間：2013年〜2046年（33年間）
■ 概要：万一の場合に遺族の生活費・教育費を保障。
   満了時には保障終了、解約返戻金は基本的に無し。</t>
        </r>
      </text>
    </comment>
    <comment ref="C5" authorId="0" shapeId="0" xr:uid="{00000000-0006-0000-0700-000002000000}">
      <text>
        <r>
          <rPr>
            <sz val="11"/>
            <color theme="1"/>
            <rFont val="Calibri"/>
            <family val="2"/>
            <scheme val="minor"/>
          </rPr>
          <t>ロングサポート生命（定期保険）
■ 種類：定期死亡保険
■ 契約者：夫（被保険者本人）
■ 保険金額：5,000万円
■ 年間保険料：24万円（月2万円）
■ 期間：2013年〜2046年（33年間）
■ 概要：万一の場合に遺族の生活費・教育費を保障。
   満了時には保障終了、解約返戻金は基本的に無し。</t>
        </r>
      </text>
    </comment>
    <comment ref="B6" authorId="0" shapeId="0" xr:uid="{00000000-0006-0000-0700-000003000000}">
      <text>
        <r>
          <rPr>
            <sz val="11"/>
            <color theme="1"/>
            <rFont val="Calibri"/>
            <family val="2"/>
            <scheme val="minor"/>
          </rPr>
          <t>プランニング共済（総合保障）
■ 種類：総合保障型共済
■ 契約者：妻
■ 保険金額：400万円
■ 年間保険料：2.4万円（月2,000円）
■ 期間：2010年〜2046年
■ 概要：死亡保障に加え、入院・手術・けが等を
   幅広くカバーする総合保障型。割安な掛金が特徴。</t>
        </r>
      </text>
    </comment>
    <comment ref="C6" authorId="0" shapeId="0" xr:uid="{00000000-0006-0000-0700-000004000000}">
      <text>
        <r>
          <rPr>
            <sz val="11"/>
            <color theme="1"/>
            <rFont val="Calibri"/>
            <family val="2"/>
            <scheme val="minor"/>
          </rPr>
          <t>プランニング共済（総合保障）
■ 種類：総合保障型共済
■ 契約者：妻
■ 保険金額：400万円
■ 年間保険料：2.4万円（月2,000円）
■ 期間：2010年〜2046年
■ 概要：死亡保障に加え、入院・手術・けが等を
   幅広くカバーする総合保障型。割安な掛金が特徴。</t>
        </r>
      </text>
    </comment>
    <comment ref="B7" authorId="0" shapeId="0" xr:uid="{00000000-0006-0000-0700-000005000000}">
      <text>
        <r>
          <rPr>
            <sz val="11"/>
            <color theme="1"/>
            <rFont val="Calibri"/>
            <family val="2"/>
            <scheme val="minor"/>
          </rPr>
          <t>学資保険
■ 種類：学資保険（貯蓄型）
■ 契約者：夫
■ 受取満期金：100万円
■ 年間保険料：6.24万円（月5,200円）
■ 期間：2022年〜2037年（子1の17歳満期）
■ 概要：子の教育資金準備が目的。契約者死亡時は
   以後の保険料免除・満期金は予定どおり受取可。</t>
        </r>
      </text>
    </comment>
    <comment ref="C7" authorId="0" shapeId="0" xr:uid="{00000000-0006-0000-0700-000006000000}">
      <text>
        <r>
          <rPr>
            <sz val="11"/>
            <color theme="1"/>
            <rFont val="Calibri"/>
            <family val="2"/>
            <scheme val="minor"/>
          </rPr>
          <t>学資保険
■ 種類：学資保険（貯蓄型）
■ 契約者：夫
■ 受取満期金：100万円
■ 年間保険料：6.24万円（月5,200円）
■ 期間：2022年〜2037年（子1の17歳満期）
■ 概要：子の教育資金準備が目的。契約者死亡時は
   以後の保険料免除・満期金は予定どおり受取可。</t>
        </r>
      </text>
    </comment>
    <comment ref="B8" authorId="0" shapeId="0" xr:uid="{00000000-0006-0000-0700-000007000000}">
      <text>
        <r>
          <rPr>
            <sz val="11"/>
            <color theme="1"/>
            <rFont val="Calibri"/>
            <family val="2"/>
            <scheme val="minor"/>
          </rPr>
          <t>損害保険（自動車＋火災）
■ 種類：自動車保険＋火災保険
■ 契約者：夫
■ 保険金額：実損補償（金額は被害額に応じる）
■ 年間保険料：7万円
■ 期間：2010年〜2080年（自動車・住宅保有期間）
■ 概要：自動車事故の対人・対物・車両、住宅の火災・
   風水害・地震（特約）を補償。資産防衛の基本保険。</t>
        </r>
      </text>
    </comment>
    <comment ref="C8" authorId="0" shapeId="0" xr:uid="{00000000-0006-0000-0700-000008000000}">
      <text>
        <r>
          <rPr>
            <sz val="11"/>
            <color theme="1"/>
            <rFont val="Calibri"/>
            <family val="2"/>
            <scheme val="minor"/>
          </rPr>
          <t>損害保険（自動車＋火災）
■ 種類：自動車保険＋火災保険
■ 契約者：夫
■ 保険金額：実損補償（金額は被害額に応じる）
■ 年間保険料：7万円
■ 期間：2010年〜2080年（自動車・住宅保有期間）
■ 概要：自動車事故の対人・対物・車両、住宅の火災・
   風水害・地震（特約）を補償。資産防衛の基本保険。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None</author>
  </authors>
  <commentList>
    <comment ref="M3" authorId="0" shapeId="0" xr:uid="{00000000-0006-0000-0800-000001000000}">
      <text>
        <r>
          <rPr>
            <sz val="11"/>
            <color theme="1"/>
            <rFont val="Calibri"/>
            <family val="2"/>
            <scheme val="minor"/>
          </rPr>
          <t>子1・子2・子3の各ライフイベントと住宅ローン完済を併せて表示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None</author>
  </authors>
  <commentList>
    <comment ref="C13" authorId="0" shapeId="0" xr:uid="{00000000-0006-0000-0A00-000001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D13" authorId="0" shapeId="0" xr:uid="{00000000-0006-0000-0A00-000002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E13" authorId="0" shapeId="0" xr:uid="{00000000-0006-0000-0A00-000003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F13" authorId="0" shapeId="0" xr:uid="{00000000-0006-0000-0A00-000004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G13" authorId="0" shapeId="0" xr:uid="{00000000-0006-0000-0A00-000005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C14" authorId="0" shapeId="0" xr:uid="{00000000-0006-0000-0A00-000006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D14" authorId="0" shapeId="0" xr:uid="{00000000-0006-0000-0A00-000007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E14" authorId="0" shapeId="0" xr:uid="{00000000-0006-0000-0A00-000008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F14" authorId="0" shapeId="0" xr:uid="{00000000-0006-0000-0A00-000009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G14" authorId="0" shapeId="0" xr:uid="{00000000-0006-0000-0A00-00000A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C15" authorId="0" shapeId="0" xr:uid="{00000000-0006-0000-0A00-00000B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D15" authorId="0" shapeId="0" xr:uid="{00000000-0006-0000-0A00-00000C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E15" authorId="0" shapeId="0" xr:uid="{00000000-0006-0000-0A00-00000D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F15" authorId="0" shapeId="0" xr:uid="{00000000-0006-0000-0A00-00000E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G15" authorId="0" shapeId="0" xr:uid="{00000000-0006-0000-0A00-00000F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C16" authorId="0" shapeId="0" xr:uid="{00000000-0006-0000-0A00-000010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D16" authorId="0" shapeId="0" xr:uid="{00000000-0006-0000-0A00-000011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E16" authorId="0" shapeId="0" xr:uid="{00000000-0006-0000-0A00-000012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F16" authorId="0" shapeId="0" xr:uid="{00000000-0006-0000-0A00-000013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G16" authorId="0" shapeId="0" xr:uid="{00000000-0006-0000-0A00-000014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C17" authorId="0" shapeId="0" xr:uid="{00000000-0006-0000-0A00-000015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D17" authorId="0" shapeId="0" xr:uid="{00000000-0006-0000-0A00-000016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E17" authorId="0" shapeId="0" xr:uid="{00000000-0006-0000-0A00-000017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F17" authorId="0" shapeId="0" xr:uid="{00000000-0006-0000-0A00-000018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G17" authorId="0" shapeId="0" xr:uid="{00000000-0006-0000-0A00-000019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C18" authorId="0" shapeId="0" xr:uid="{00000000-0006-0000-0A00-00001A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D18" authorId="0" shapeId="0" xr:uid="{00000000-0006-0000-0A00-00001B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E18" authorId="0" shapeId="0" xr:uid="{00000000-0006-0000-0A00-00001C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F18" authorId="0" shapeId="0" xr:uid="{00000000-0006-0000-0A00-00001D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G18" authorId="0" shapeId="0" xr:uid="{00000000-0006-0000-0A00-00001E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C19" authorId="0" shapeId="0" xr:uid="{00000000-0006-0000-0A00-00001F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D19" authorId="0" shapeId="0" xr:uid="{00000000-0006-0000-0A00-000020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E19" authorId="0" shapeId="0" xr:uid="{00000000-0006-0000-0A00-000021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F19" authorId="0" shapeId="0" xr:uid="{00000000-0006-0000-0A00-000022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G19" authorId="0" shapeId="0" xr:uid="{00000000-0006-0000-0A00-000023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C20" authorId="0" shapeId="0" xr:uid="{00000000-0006-0000-0A00-000024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D20" authorId="0" shapeId="0" xr:uid="{00000000-0006-0000-0A00-000025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E20" authorId="0" shapeId="0" xr:uid="{00000000-0006-0000-0A00-000026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F20" authorId="0" shapeId="0" xr:uid="{00000000-0006-0000-0A00-000027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G20" authorId="0" shapeId="0" xr:uid="{00000000-0006-0000-0A00-000028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C21" authorId="0" shapeId="0" xr:uid="{00000000-0006-0000-0A00-000029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D21" authorId="0" shapeId="0" xr:uid="{00000000-0006-0000-0A00-00002A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E21" authorId="0" shapeId="0" xr:uid="{00000000-0006-0000-0A00-00002B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F21" authorId="0" shapeId="0" xr:uid="{00000000-0006-0000-0A00-00002C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G21" authorId="0" shapeId="0" xr:uid="{00000000-0006-0000-0A00-00002D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C22" authorId="0" shapeId="0" xr:uid="{00000000-0006-0000-0A00-00002E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D22" authorId="0" shapeId="0" xr:uid="{00000000-0006-0000-0A00-00002F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E22" authorId="0" shapeId="0" xr:uid="{00000000-0006-0000-0A00-000030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F22" authorId="0" shapeId="0" xr:uid="{00000000-0006-0000-0A00-000031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G22" authorId="0" shapeId="0" xr:uid="{00000000-0006-0000-0A00-000032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C23" authorId="0" shapeId="0" xr:uid="{00000000-0006-0000-0A00-000033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D23" authorId="0" shapeId="0" xr:uid="{00000000-0006-0000-0A00-000034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E23" authorId="0" shapeId="0" xr:uid="{00000000-0006-0000-0A00-000035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F23" authorId="0" shapeId="0" xr:uid="{00000000-0006-0000-0A00-000036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G23" authorId="0" shapeId="0" xr:uid="{00000000-0006-0000-0A00-000037000000}">
      <text>
        <r>
          <rPr>
            <sz val="11"/>
            <color theme="1"/>
            <rFont val="Calibri"/>
            <family val="2"/>
            <scheme val="minor"/>
          </rPr>
          <t>出典：国税庁「令和6年分 民間給与実態統計調査」(2024年)
   年齢階層別 平均給与（男女計）
   総務省「家計調査（2024年）」
   世帯主の年齢階級別 1か月平均消費支出×12か月（二人以上の世帯）
   ※参考とした概算値</t>
        </r>
      </text>
    </comment>
    <comment ref="C27" authorId="0" shapeId="0" xr:uid="{00000000-0006-0000-0A00-000038000000}">
      <text>
        <r>
          <rPr>
            <sz val="11"/>
            <color theme="1"/>
            <rFont val="Calibri"/>
            <family val="2"/>
            <scheme val="minor"/>
          </rPr>
          <t>出典：総務省「家計調査（2024年）」
   世帯人員別 1か月平均消費支出（二人以上の世帯）から算出した
   世帯構成の標準補正係数（世帯人員3人＝1.00を基準）。
   ※家計調査・世帯人員別データから抽出した標準値</t>
        </r>
      </text>
    </comment>
    <comment ref="D27" authorId="0" shapeId="0" xr:uid="{00000000-0006-0000-0A00-000039000000}">
      <text>
        <r>
          <rPr>
            <sz val="11"/>
            <color theme="1"/>
            <rFont val="Calibri"/>
            <family val="2"/>
            <scheme val="minor"/>
          </rPr>
          <t>出典：総務省「家計調査（2024年）」
   世帯人員別 1か月平均消費支出（二人以上の世帯）から算出した
   世帯構成の標準補正係数（世帯人員3人＝1.00を基準）。
   ※家計調査・世帯人員別データから抽出した標準値</t>
        </r>
      </text>
    </comment>
    <comment ref="E27" authorId="0" shapeId="0" xr:uid="{00000000-0006-0000-0A00-00003A000000}">
      <text>
        <r>
          <rPr>
            <sz val="11"/>
            <color theme="1"/>
            <rFont val="Calibri"/>
            <family val="2"/>
            <scheme val="minor"/>
          </rPr>
          <t>出典：総務省「家計調査（2024年）」
   世帯人員別 1か月平均消費支出（二人以上の世帯）から算出した
   世帯構成の標準補正係数（世帯人員3人＝1.00を基準）。
   ※家計調査・世帯人員別データから抽出した標準値</t>
        </r>
      </text>
    </comment>
    <comment ref="C28" authorId="0" shapeId="0" xr:uid="{00000000-0006-0000-0A00-00003B000000}">
      <text>
        <r>
          <rPr>
            <sz val="11"/>
            <color theme="1"/>
            <rFont val="Calibri"/>
            <family val="2"/>
            <scheme val="minor"/>
          </rPr>
          <t>出典：総務省「家計調査（2024年）」
   世帯人員別 1か月平均消費支出（二人以上の世帯）から算出した
   世帯構成の標準補正係数（世帯人員3人＝1.00を基準）。
   ※家計調査・世帯人員別データから抽出した標準値</t>
        </r>
      </text>
    </comment>
    <comment ref="D28" authorId="0" shapeId="0" xr:uid="{00000000-0006-0000-0A00-00003C000000}">
      <text>
        <r>
          <rPr>
            <sz val="11"/>
            <color theme="1"/>
            <rFont val="Calibri"/>
            <family val="2"/>
            <scheme val="minor"/>
          </rPr>
          <t>出典：総務省「家計調査（2024年）」
   世帯人員別 1か月平均消費支出（二人以上の世帯）から算出した
   世帯構成の標準補正係数（世帯人員3人＝1.00を基準）。
   ※家計調査・世帯人員別データから抽出した標準値</t>
        </r>
      </text>
    </comment>
    <comment ref="E28" authorId="0" shapeId="0" xr:uid="{00000000-0006-0000-0A00-00003D000000}">
      <text>
        <r>
          <rPr>
            <sz val="11"/>
            <color theme="1"/>
            <rFont val="Calibri"/>
            <family val="2"/>
            <scheme val="minor"/>
          </rPr>
          <t>出典：総務省「家計調査（2024年）」
   世帯人員別 1か月平均消費支出（二人以上の世帯）から算出した
   世帯構成の標準補正係数（世帯人員3人＝1.00を基準）。
   ※家計調査・世帯人員別データから抽出した標準値</t>
        </r>
      </text>
    </comment>
    <comment ref="C29" authorId="0" shapeId="0" xr:uid="{00000000-0006-0000-0A00-00003E000000}">
      <text>
        <r>
          <rPr>
            <sz val="11"/>
            <color theme="1"/>
            <rFont val="Calibri"/>
            <family val="2"/>
            <scheme val="minor"/>
          </rPr>
          <t>出典：総務省「家計調査（2024年）」
   世帯人員別 1か月平均消費支出（二人以上の世帯）から算出した
   世帯構成の標準補正係数（世帯人員3人＝1.00を基準）。
   ※家計調査・世帯人員別データから抽出した標準値</t>
        </r>
      </text>
    </comment>
    <comment ref="D29" authorId="0" shapeId="0" xr:uid="{00000000-0006-0000-0A00-00003F000000}">
      <text>
        <r>
          <rPr>
            <sz val="11"/>
            <color theme="1"/>
            <rFont val="Calibri"/>
            <family val="2"/>
            <scheme val="minor"/>
          </rPr>
          <t>出典：総務省「家計調査（2024年）」
   世帯人員別 1か月平均消費支出（二人以上の世帯）から算出した
   世帯構成の標準補正係数（世帯人員3人＝1.00を基準）。
   ※家計調査・世帯人員別データから抽出した標準値</t>
        </r>
      </text>
    </comment>
    <comment ref="E29" authorId="0" shapeId="0" xr:uid="{00000000-0006-0000-0A00-000040000000}">
      <text>
        <r>
          <rPr>
            <sz val="11"/>
            <color theme="1"/>
            <rFont val="Calibri"/>
            <family val="2"/>
            <scheme val="minor"/>
          </rPr>
          <t>出典：総務省「家計調査（2024年）」
   世帯人員別 1か月平均消費支出（二人以上の世帯）から算出した
   世帯構成の標準補正係数（世帯人員3人＝1.00を基準）。
   ※家計調査・世帯人員別データから抽出した標準値</t>
        </r>
      </text>
    </comment>
    <comment ref="C30" authorId="0" shapeId="0" xr:uid="{00000000-0006-0000-0A00-000041000000}">
      <text>
        <r>
          <rPr>
            <sz val="11"/>
            <color theme="1"/>
            <rFont val="Calibri"/>
            <family val="2"/>
            <scheme val="minor"/>
          </rPr>
          <t>出典：総務省「家計調査（2024年）」
   世帯人員別 1か月平均消費支出（二人以上の世帯）から算出した
   世帯構成の標準補正係数（世帯人員3人＝1.00を基準）。
   ※家計調査・世帯人員別データから抽出した標準値</t>
        </r>
      </text>
    </comment>
    <comment ref="D30" authorId="0" shapeId="0" xr:uid="{00000000-0006-0000-0A00-000042000000}">
      <text>
        <r>
          <rPr>
            <sz val="11"/>
            <color theme="1"/>
            <rFont val="Calibri"/>
            <family val="2"/>
            <scheme val="minor"/>
          </rPr>
          <t>出典：総務省「家計調査（2024年）」
   世帯人員別 1か月平均消費支出（二人以上の世帯）から算出した
   世帯構成の標準補正係数（世帯人員3人＝1.00を基準）。
   ※家計調査・世帯人員別データから抽出した標準値</t>
        </r>
      </text>
    </comment>
    <comment ref="E30" authorId="0" shapeId="0" xr:uid="{00000000-0006-0000-0A00-000043000000}">
      <text>
        <r>
          <rPr>
            <sz val="11"/>
            <color theme="1"/>
            <rFont val="Calibri"/>
            <family val="2"/>
            <scheme val="minor"/>
          </rPr>
          <t>出典：総務省「家計調査（2024年）」
   世帯人員別 1か月平均消費支出（二人以上の世帯）から算出した
   世帯構成の標準補正係数（世帯人員3人＝1.00を基準）。
   ※家計調査・世帯人員別データから抽出した標準値</t>
        </r>
      </text>
    </comment>
    <comment ref="C31" authorId="0" shapeId="0" xr:uid="{00000000-0006-0000-0A00-000044000000}">
      <text>
        <r>
          <rPr>
            <sz val="11"/>
            <color theme="1"/>
            <rFont val="Calibri"/>
            <family val="2"/>
            <scheme val="minor"/>
          </rPr>
          <t>出典：総務省「家計調査（2024年）」
   世帯人員別 1か月平均消費支出（二人以上の世帯）から算出した
   世帯構成の標準補正係数（世帯人員3人＝1.00を基準）。
   ※家計調査・世帯人員別データから抽出した標準値</t>
        </r>
      </text>
    </comment>
    <comment ref="D31" authorId="0" shapeId="0" xr:uid="{00000000-0006-0000-0A00-000045000000}">
      <text>
        <r>
          <rPr>
            <sz val="11"/>
            <color theme="1"/>
            <rFont val="Calibri"/>
            <family val="2"/>
            <scheme val="minor"/>
          </rPr>
          <t>出典：総務省「家計調査（2024年）」
   世帯人員別 1か月平均消費支出（二人以上の世帯）から算出した
   世帯構成の標準補正係数（世帯人員3人＝1.00を基準）。
   ※家計調査・世帯人員別データから抽出した標準値</t>
        </r>
      </text>
    </comment>
    <comment ref="E31" authorId="0" shapeId="0" xr:uid="{00000000-0006-0000-0A00-000046000000}">
      <text>
        <r>
          <rPr>
            <sz val="11"/>
            <color theme="1"/>
            <rFont val="Calibri"/>
            <family val="2"/>
            <scheme val="minor"/>
          </rPr>
          <t>出典：総務省「家計調査（2024年）」
   世帯人員別 1か月平均消費支出（二人以上の世帯）から算出した
   世帯構成の標準補正係数（世帯人員3人＝1.00を基準）。
   ※家計調査・世帯人員別データから抽出した標準値</t>
        </r>
      </text>
    </comment>
    <comment ref="C32" authorId="0" shapeId="0" xr:uid="{00000000-0006-0000-0A00-000047000000}">
      <text>
        <r>
          <rPr>
            <sz val="11"/>
            <color theme="1"/>
            <rFont val="Calibri"/>
            <family val="2"/>
            <scheme val="minor"/>
          </rPr>
          <t>出典：総務省「家計調査（2024年）」
   世帯人員別 1か月平均消費支出（二人以上の世帯）から算出した
   世帯構成の標準補正係数（世帯人員3人＝1.00を基準）。
   ※家計調査・世帯人員別データから抽出した標準値</t>
        </r>
      </text>
    </comment>
    <comment ref="D32" authorId="0" shapeId="0" xr:uid="{00000000-0006-0000-0A00-000048000000}">
      <text>
        <r>
          <rPr>
            <sz val="11"/>
            <color theme="1"/>
            <rFont val="Calibri"/>
            <family val="2"/>
            <scheme val="minor"/>
          </rPr>
          <t>出典：総務省「家計調査（2024年）」
   世帯人員別 1か月平均消費支出（二人以上の世帯）から算出した
   世帯構成の標準補正係数（世帯人員3人＝1.00を基準）。
   ※家計調査・世帯人員別データから抽出した標準値</t>
        </r>
      </text>
    </comment>
    <comment ref="E32" authorId="0" shapeId="0" xr:uid="{00000000-0006-0000-0A00-000049000000}">
      <text>
        <r>
          <rPr>
            <sz val="11"/>
            <color theme="1"/>
            <rFont val="Calibri"/>
            <family val="2"/>
            <scheme val="minor"/>
          </rPr>
          <t>出典：総務省「家計調査（2024年）」
   世帯人員別 1か月平均消費支出（二人以上の世帯）から算出した
   世帯構成の標準補正係数（世帯人員3人＝1.00を基準）。
   ※家計調査・世帯人員別データから抽出した標準値</t>
        </r>
      </text>
    </comment>
  </commentList>
</comments>
</file>

<file path=xl/sharedStrings.xml><?xml version="1.0" encoding="utf-8"?>
<sst xmlns="http://schemas.openxmlformats.org/spreadsheetml/2006/main" count="595" uniqueCount="451">
  <si>
    <t>⑧ キャッシュフロー表（100歳までの年次収支・貯蓄残高）</t>
  </si>
  <si>
    <t>※ 入力シートを更新すると自動再計算されます。単位：万円　※ 配偶者欄は配偶者がいる場合のみ参照。</t>
  </si>
  <si>
    <t>年</t>
  </si>
  <si>
    <t>家族年齢</t>
  </si>
  <si>
    <t>収支・残高</t>
  </si>
  <si>
    <t>年次</t>
  </si>
  <si>
    <t>西暦</t>
  </si>
  <si>
    <t>本人</t>
  </si>
  <si>
    <t>配偶者</t>
  </si>
  <si>
    <t>子1</t>
  </si>
  <si>
    <t>子2</t>
  </si>
  <si>
    <t>子3</t>
  </si>
  <si>
    <t>子4</t>
  </si>
  <si>
    <t>子5</t>
  </si>
  <si>
    <t>本人 給与</t>
  </si>
  <si>
    <t>配偶者 給与</t>
  </si>
  <si>
    <t>退職金</t>
  </si>
  <si>
    <t>年金</t>
  </si>
  <si>
    <t>一時収入等</t>
  </si>
  <si>
    <t>収入合計</t>
  </si>
  <si>
    <t>基本生活費</t>
  </si>
  <si>
    <t>住居費</t>
  </si>
  <si>
    <t>住宅ローン</t>
  </si>
  <si>
    <t>教育費</t>
  </si>
  <si>
    <t>保険料</t>
  </si>
  <si>
    <t>車両関連</t>
  </si>
  <si>
    <t>スポット</t>
  </si>
  <si>
    <t>支出合計</t>
  </si>
  <si>
    <t>年間収支</t>
  </si>
  <si>
    <t>貯蓄残高</t>
  </si>
  <si>
    <t>ライフプラン・キャッシュフロー表（100歳まで）</t>
  </si>
  <si>
    <t>～ サンプル：XX家データを初期値として設定 ～</t>
  </si>
  <si>
    <t>【本ファイルの目的】</t>
  </si>
  <si>
    <t>ご家族の年齢・収入・支出・ローン・保険などの情報を入力すると、</t>
  </si>
  <si>
    <t>ライフイベント表と100歳までのキャッシュフロー表が自動算出されます。</t>
  </si>
  <si>
    <t>また、扶養者の年齢・配偶者有無・子人数を基準とした全国平均との比較も行います。</t>
  </si>
  <si>
    <t>【シート構成】</t>
  </si>
  <si>
    <t>　① 基本情報　　　　ご家族構成・年齢・基準年・退職年金前提</t>
  </si>
  <si>
    <t>　② 収入計画　　　　給与・賞与・退職金・年金など将来の収入</t>
  </si>
  <si>
    <t>　③ 支出計画　　　　基本生活費・住居費・教育費等の支出計画</t>
  </si>
  <si>
    <t>　④ 住宅ローン償還表　元利均等返済の自動計算（年次）</t>
  </si>
  <si>
    <t>　⑤ 金融資産・運用　現在残高と運用利回り設定</t>
  </si>
  <si>
    <t>　⑥ 保険　　　　　　保険料の年次計画</t>
  </si>
  <si>
    <t>　⑦ ライフイベント表　主要イベントの年表（家族年齢付き）</t>
  </si>
  <si>
    <t>　⑧ キャッシュフロー表　100歳までの年次収支・貯蓄残高</t>
  </si>
  <si>
    <t>　⑨ 全国平均比較　　扶養者年齢×世帯構成での比較</t>
  </si>
  <si>
    <t>　⑩ ダッシュボード　グラフによる可視化</t>
  </si>
  <si>
    <t>【入力ルール】</t>
  </si>
  <si>
    <t>　・薄い黄色のセル ＝ 利用者が入力する箇所</t>
  </si>
  <si>
    <t>　・薄いグレーのセル ＝ 自動計算される箇所（編集不可推奨）</t>
  </si>
  <si>
    <t>【単位】　金額：万円　／　利率：％　／　年齢：歳　／　年：西暦年</t>
  </si>
  <si>
    <t>【ご注意】税制改正・運用商品の信託報酬等は考慮しておりません。あくまで概算試算です。</t>
  </si>
  <si>
    <t>生成AIへの問い合わせプロンプト：以下のプロンプトを”コピペ”してください。次にこのEXCELシート（6.2_ライフプラン_詳細版v3 20260531シート）のまま貼付け（＋）してください。尚、生成AIアプリは利用者にて選択してください。「ダッシュボード」に回答が追記されます。</t>
  </si>
  <si>
    <t>※ 本シミュレーションは概算であり、実際の収支は経済情勢・個別事情により変動します。</t>
  </si>
  <si>
    <t>① 基本情報（ご家族構成・基準）</t>
  </si>
  <si>
    <t>基準年（プラン作成年）</t>
  </si>
  <si>
    <t>（西暦4桁）</t>
  </si>
  <si>
    <t>続柄</t>
  </si>
  <si>
    <t>氏名</t>
  </si>
  <si>
    <t>生年月日</t>
  </si>
  <si>
    <t>基準年年齢</t>
  </si>
  <si>
    <t>100歳到達年</t>
  </si>
  <si>
    <t>備考</t>
  </si>
  <si>
    <t>ご本人(夫)</t>
  </si>
  <si>
    <t>山田　太郎ヤマダタロウ</t>
  </si>
  <si>
    <t>配偶者(妻)</t>
  </si>
  <si>
    <t>山田　花子ヤマダハナコ</t>
  </si>
  <si>
    <t>お子様①</t>
  </si>
  <si>
    <t>山田　一郎ヤマダイチロウ</t>
  </si>
  <si>
    <t>お子様②</t>
  </si>
  <si>
    <t>山田　二郎ヤマダジロウ</t>
  </si>
  <si>
    <t>お子様③</t>
  </si>
  <si>
    <t>山田　三郎ヤマダサブロウ</t>
  </si>
  <si>
    <t>出産予定</t>
  </si>
  <si>
    <t>お子様④</t>
  </si>
  <si>
    <t>山田　四郎ヤマダシロウ</t>
  </si>
  <si>
    <t>お子様⑤</t>
  </si>
  <si>
    <t>山田　五郎ヤマダゴロウ</t>
  </si>
  <si>
    <t>■ 退職・年金・再就職 前提</t>
  </si>
  <si>
    <t>項目</t>
  </si>
  <si>
    <t>ご本人</t>
  </si>
  <si>
    <t>定年年齢</t>
  </si>
  <si>
    <t>歳</t>
  </si>
  <si>
    <t>退職金 (万円)</t>
  </si>
  <si>
    <t>税込・概算</t>
  </si>
  <si>
    <t>年金開始年齢</t>
  </si>
  <si>
    <t>年金月額 (万円)</t>
  </si>
  <si>
    <t>概算</t>
  </si>
  <si>
    <t>再就職年収 (万円)</t>
  </si>
  <si>
    <t>60〜69歳</t>
  </si>
  <si>
    <t>再就職終了年齢</t>
  </si>
  <si>
    <t>② 収入計画（年収・退職金・年金）</t>
  </si>
  <si>
    <t>■ 現在の年収（基準年＝サンプル：2022年）</t>
  </si>
  <si>
    <t>対象</t>
  </si>
  <si>
    <t>年収(万円)</t>
  </si>
  <si>
    <t>可処分所得(万円)</t>
  </si>
  <si>
    <t>上昇率①</t>
  </si>
  <si>
    <t>上昇率②</t>
  </si>
  <si>
    <t>上昇率切替年齢</t>
  </si>
  <si>
    <t>上昇率①は切替年齢まで／上昇率②は定年まで</t>
  </si>
  <si>
    <t>産休中は50%として算出（収入計画モデルで考慮）</t>
  </si>
  <si>
    <t>■ 出産・育児休業の収入考慮（配偶者）</t>
  </si>
  <si>
    <t>出産年（西暦）</t>
  </si>
  <si>
    <t>出産する年。子1の生年と一致（基本情報シートから自動取得）</t>
  </si>
  <si>
    <t>育休後復帰年齢（配偶者）</t>
  </si>
  <si>
    <t>歳。出産後の復帰までは収入50%（配偶者基準年齢+2年）</t>
  </si>
  <si>
    <t>時短勤務終了年齢（配偶者）</t>
  </si>
  <si>
    <t>歳。時短期間中は収入50%（復帰後3年間）</t>
  </si>
  <si>
    <t>出産年（西暦）子2</t>
  </si>
  <si>
    <t>出産する年。子2の生年と一致（基本情報シートから自動取得）</t>
  </si>
  <si>
    <t>育休後復帰年齢（配偶者）子2</t>
  </si>
  <si>
    <t>時短勤務終了年齢（配偶者）子2</t>
  </si>
  <si>
    <t>歳。時短期間中は収入50%（子2復帰後3年間）</t>
  </si>
  <si>
    <t>出産年（西暦）子3</t>
  </si>
  <si>
    <t>出産する年。子3の生年と一致（基本情報シートから自動取得）</t>
  </si>
  <si>
    <t>育休後復帰年齢（配偶者）子3</t>
  </si>
  <si>
    <t>歳。子3出産後の復帰までは収入50%（配偶者基準年齢+2年）</t>
  </si>
  <si>
    <t>時短勤務終了年齢（配偶者）子3</t>
  </si>
  <si>
    <t>歳。時短期間中は収入50%（子3復帰後3年間）</t>
  </si>
  <si>
    <t>出産年（西暦）子4</t>
  </si>
  <si>
    <t>出産する年。子4の生年と一致（基本情報シートから自動取得）</t>
  </si>
  <si>
    <t>育休後復帰年齢（配偶者）子4</t>
  </si>
  <si>
    <t>歳。子4出産後の復帰までは収入50%（配偶者基準年齢+2年）</t>
  </si>
  <si>
    <t>時短勤務終了年齢（配偶者）子4</t>
  </si>
  <si>
    <t>歳。時短期間中は収入50%（子4復帰後3年間）</t>
  </si>
  <si>
    <t>出産年（西暦）子5</t>
  </si>
  <si>
    <t>出産する年。子5の生年と一致（基本情報シートから自動取得）</t>
  </si>
  <si>
    <t>育休後復帰年齢（配偶者）子5</t>
  </si>
  <si>
    <t>歳。子5出産後の復帰までは収入50%（配偶者基準年齢+2年）</t>
  </si>
  <si>
    <t>時短勤務終了年齢（配偶者）子5</t>
  </si>
  <si>
    <t>歳。時短期間中は収入50%（子5復帰後3年間）</t>
  </si>
  <si>
    <t>■ 一時的収入・公的給付</t>
  </si>
  <si>
    <t>金額(万円)</t>
  </si>
  <si>
    <t>受取年(西暦)</t>
  </si>
  <si>
    <t>終了年(西暦)</t>
  </si>
  <si>
    <t>頻度</t>
  </si>
  <si>
    <t>児童手当（子1）</t>
  </si>
  <si>
    <t>毎年</t>
  </si>
  <si>
    <t>子1が0〜15歳の期間（基本情報シートから自動算出）</t>
  </si>
  <si>
    <t>児童手当（子2）</t>
  </si>
  <si>
    <t>子2が0〜15歳の期間（基本情報シートから自動算出）</t>
  </si>
  <si>
    <t>児童手当（子3）</t>
  </si>
  <si>
    <t>子3が0〜15歳の期間（基本情報シートから自動算出）</t>
  </si>
  <si>
    <t>児童手当（子4）</t>
  </si>
  <si>
    <t>子4が0〜15歳の期間（基本情報シートから自動算出）</t>
  </si>
  <si>
    <t>児童手当（子5）</t>
  </si>
  <si>
    <t>子5が0〜15歳の期間（基本情報シートから自動算出）</t>
  </si>
  <si>
    <t>学資保険満期金（子1）</t>
  </si>
  <si>
    <t>1回</t>
  </si>
  <si>
    <t>子1が17歳の年（基本情報シートから自動算出）</t>
  </si>
  <si>
    <t>学資保険満期金（子2）</t>
  </si>
  <si>
    <t>子2が17歳の年（基本情報シートから自動算出）</t>
  </si>
  <si>
    <t>学資保険満期金（子3）</t>
  </si>
  <si>
    <t>子3が17歳の年（基本情報シートから自動算出）</t>
  </si>
  <si>
    <t>学資保険満期金（子4）</t>
  </si>
  <si>
    <t>子4が17歳の年（基本情報シートから自動算出）</t>
  </si>
  <si>
    <t>学資保険満期金（子5）</t>
  </si>
  <si>
    <t>子5が17歳の年（基本情報シートから自動算出）</t>
  </si>
  <si>
    <t>出産育児一時金（子1）</t>
  </si>
  <si>
    <t>子1の出生年（基本情報シートから自動算出）</t>
  </si>
  <si>
    <t>出産育児一時金（子2）</t>
  </si>
  <si>
    <t>子2の出生年（基本情報シートから自動算出）</t>
  </si>
  <si>
    <t>出産育児一時金（子3）</t>
  </si>
  <si>
    <t>子3の出生年（基本情報シートから自動算出）</t>
  </si>
  <si>
    <t>出産育児一時金（子4）</t>
  </si>
  <si>
    <t>子4の出生年（基本情報シートから自動算出）</t>
  </si>
  <si>
    <t>出産育児一時金（子5）</t>
  </si>
  <si>
    <t>子5の出生年（基本情報シートから自動算出）</t>
  </si>
  <si>
    <t>贈与・援助金</t>
  </si>
  <si>
    <t>親からの住宅取得援助</t>
  </si>
  <si>
    <t>児童手当</t>
  </si>
  <si>
    <t xml:space="preserve">3歳未満：15,000円（第3子以降は30,000円） </t>
  </si>
  <si>
    <t xml:space="preserve">3歳〜高校生年代：10,000円（第3子以降は30,000円） </t>
  </si>
  <si>
    <t>0歳〜18歳に達する日以後の最初の3月31日までの子を養育していること</t>
  </si>
  <si>
    <t>■ 全国地域別 平均年収一覧（直近）</t>
  </si>
  <si>
    <t>地域</t>
  </si>
  <si>
    <t>主要都道府県</t>
  </si>
  <si>
    <t>平均年収(万円)</t>
  </si>
  <si>
    <t>対全国比</t>
  </si>
  <si>
    <t>出産育児一時金</t>
  </si>
  <si>
    <t>関東</t>
  </si>
  <si>
    <t>東京・神奈川・千葉・埼玉</t>
  </si>
  <si>
    <t>高水準</t>
  </si>
  <si>
    <t xml:space="preserve">原則：50万円（1児につき）  </t>
  </si>
  <si>
    <t>東海</t>
  </si>
  <si>
    <t>愛知・静岡・三重・岐阜</t>
  </si>
  <si>
    <t>平均的</t>
  </si>
  <si>
    <t>関西</t>
  </si>
  <si>
    <t>大阪・兵庫・京都・奈良</t>
  </si>
  <si>
    <t>学資保険 　相場ソウバ</t>
  </si>
  <si>
    <t>中国・四国</t>
  </si>
  <si>
    <t>広島・岡山・香川</t>
  </si>
  <si>
    <t>標準</t>
  </si>
  <si>
    <t>満期金の相場は200万〜350万円が中心</t>
  </si>
  <si>
    <t>北信越</t>
  </si>
  <si>
    <t>新潟・石川・長野</t>
  </si>
  <si>
    <t>200万円で最低限（初年度費用）をカバー</t>
  </si>
  <si>
    <t>北海道・東北</t>
  </si>
  <si>
    <t>北海道・宮城・福島</t>
  </si>
  <si>
    <t>九州・沖縄</t>
  </si>
  <si>
    <t>福岡・熊本・沖縄</t>
  </si>
  <si>
    <t>大学入学時に必要な初年度納付金は以下の通り：</t>
  </si>
  <si>
    <t>全国平均</t>
  </si>
  <si>
    <t>47都道府県</t>
  </si>
  <si>
    <t>基準</t>
  </si>
  <si>
    <t>初年度納付金の目安</t>
  </si>
  <si>
    <t>国立大学　　約81.8万円</t>
  </si>
  <si>
    <t>出典：dodaビジネスパーソンの平均年収レポート（2024年9月〜2025年8月、約60万人ベース）</t>
  </si>
  <si>
    <t>私立文系　　約118.9万円</t>
  </si>
  <si>
    <t>※年代・職種により大きく変動。あくまで地域別の参考値</t>
  </si>
  <si>
    <t>私立理系　　約156.6万円</t>
  </si>
  <si>
    <t>③ 支出計画</t>
  </si>
  <si>
    <t>■ 基本生活費・住居費・その他</t>
  </si>
  <si>
    <t>年間金額(万円)</t>
  </si>
  <si>
    <t>変動率/年</t>
  </si>
  <si>
    <t>開始年(西暦)</t>
  </si>
  <si>
    <t>基本生活費（現役期）</t>
  </si>
  <si>
    <t>夫定年〜年金開始まで（基本情報の年金開始年齢から自動算出）</t>
  </si>
  <si>
    <t>基本生活費（年金期）</t>
  </si>
  <si>
    <t>年金生活で年-1.0%ずつマイルドに逓減</t>
  </si>
  <si>
    <t>住居費(現在家賃)</t>
  </si>
  <si>
    <t>家購入で消滅。CFで自動切替</t>
  </si>
  <si>
    <t>住宅維持費(管理費等)</t>
  </si>
  <si>
    <t>管理費・修繕積立金・固定資産税</t>
  </si>
  <si>
    <t>車両関連費</t>
  </si>
  <si>
    <t>自動車税・燃料・車検（年平均）</t>
  </si>
  <si>
    <t>生命保険料</t>
  </si>
  <si>
    <t>60歳まで継続</t>
  </si>
  <si>
    <t>学資保険（子1）</t>
  </si>
  <si>
    <t>5,200円/月（子1の出生〜17歳）</t>
  </si>
  <si>
    <t>学資保険（子2）</t>
  </si>
  <si>
    <t>5,200円/月（子2の出生〜17歳）</t>
  </si>
  <si>
    <t>学資保険（子3）</t>
  </si>
  <si>
    <t>5,200円/月（子3の出生〜17歳）</t>
  </si>
  <si>
    <t>学資保険（子4）</t>
  </si>
  <si>
    <t>5,200円/月（子4の出生〜17歳）</t>
  </si>
  <si>
    <t>学資保険（子5）</t>
  </si>
  <si>
    <t>5,200円/月（子5の出生〜17歳）</t>
  </si>
  <si>
    <t>損害保険料</t>
  </si>
  <si>
    <t>自動車＋火災</t>
  </si>
  <si>
    <t>交際・冠婚葬祭</t>
  </si>
  <si>
    <t>レジャー・趣味</t>
  </si>
  <si>
    <t>その他</t>
  </si>
  <si>
    <t>■ 教育費（子1）（変動率2.0%／参考データ）</t>
  </si>
  <si>
    <t>教育区分</t>
  </si>
  <si>
    <t>対象年齢</t>
  </si>
  <si>
    <t>年間費用(万円)</t>
  </si>
  <si>
    <t>保育園</t>
  </si>
  <si>
    <t>0〜5歳</t>
  </si>
  <si>
    <t>公立保育料概算</t>
  </si>
  <si>
    <t>小学校(公立)</t>
  </si>
  <si>
    <t>6〜11歳</t>
  </si>
  <si>
    <t>中学校(公立)</t>
  </si>
  <si>
    <t>12〜14歳</t>
  </si>
  <si>
    <t>高校(私立)</t>
  </si>
  <si>
    <t>15〜17歳</t>
  </si>
  <si>
    <t>大学(私文)初年</t>
  </si>
  <si>
    <t>18歳</t>
  </si>
  <si>
    <t>大学(私文)2-4年</t>
  </si>
  <si>
    <t>19〜21歳</t>
  </si>
  <si>
    <t>教育費変動率</t>
  </si>
  <si>
    <t>■ スポット支出（マイカー・旅行・結婚資金援助等）</t>
  </si>
  <si>
    <t>発生年(西暦)</t>
  </si>
  <si>
    <t>間隔(年)</t>
  </si>
  <si>
    <t>終了年</t>
  </si>
  <si>
    <t>自動車買替</t>
  </si>
  <si>
    <t>7年ごと</t>
  </si>
  <si>
    <t>夫海外旅行</t>
  </si>
  <si>
    <t>5年ごと（夫40〜60歳）</t>
  </si>
  <si>
    <t>結婚資金援助(子1)</t>
  </si>
  <si>
    <t>子1が28歳時</t>
  </si>
  <si>
    <t>住宅リフォーム</t>
  </si>
  <si>
    <t>■ 65歳以降の生活費調整</t>
  </si>
  <si>
    <t>金額(万円/年)</t>
  </si>
  <si>
    <t>退職後 基本生活費</t>
  </si>
  <si>
    <t>夫65歳〜（年36万減）</t>
  </si>
  <si>
    <t>退職後 住宅維持費</t>
  </si>
  <si>
    <t>退職後 損害保険料</t>
  </si>
  <si>
    <t>子の就職後 生活費削減額</t>
  </si>
  <si>
    <t>子の大学卒業後</t>
  </si>
  <si>
    <t>④ 住宅ローン償還表（元利均等返済）</t>
  </si>
  <si>
    <t>■ ローン入力（2本まで設定可・財形＋フラット35併用想定）</t>
  </si>
  <si>
    <t>ローン①</t>
  </si>
  <si>
    <t>ローン②</t>
  </si>
  <si>
    <t>合計</t>
  </si>
  <si>
    <t>ローン名称</t>
  </si>
  <si>
    <t>財形住宅融資</t>
  </si>
  <si>
    <t>フラット35</t>
  </si>
  <si>
    <t>種類</t>
  </si>
  <si>
    <t>借入額(万円)</t>
  </si>
  <si>
    <t>親援助500万円控除後</t>
  </si>
  <si>
    <t>年利率(%)</t>
  </si>
  <si>
    <t>5年固定／全期間固定</t>
  </si>
  <si>
    <t>返済期間(年)</t>
  </si>
  <si>
    <t>60歳完済目標</t>
  </si>
  <si>
    <t>月額返済(円)</t>
  </si>
  <si>
    <t>計算結果</t>
  </si>
  <si>
    <t>総返済額(万円)</t>
  </si>
  <si>
    <t>年間返済(万円)</t>
  </si>
  <si>
    <t>■ 償還スケジュール（年次）</t>
  </si>
  <si>
    <t>ローン①残高</t>
  </si>
  <si>
    <t>ローン②残高</t>
  </si>
  <si>
    <t>年間元金</t>
  </si>
  <si>
    <t>年間利息</t>
  </si>
  <si>
    <t>年間返済合計</t>
  </si>
  <si>
    <t>⑩ ダッシュボード（グラフによる可視化）</t>
  </si>
  <si>
    <t>基準年</t>
  </si>
  <si>
    <t>世帯主 基準年年齢</t>
  </si>
  <si>
    <t>世帯人数</t>
  </si>
  <si>
    <t>初期金融資産(万円)</t>
  </si>
  <si>
    <t>ローン年間返済(万円)</t>
  </si>
  <si>
    <t>年金開始(本人)</t>
  </si>
  <si>
    <t>退職金合計(万円)</t>
  </si>
  <si>
    <t>■ 100歳までの貯蓄残高推移</t>
  </si>
  <si>
    <t>■ 収入・支出推移</t>
  </si>
  <si>
    <t>■ ご家庭 vs 全国平均</t>
  </si>
  <si>
    <t>ご家庭</t>
  </si>
  <si>
    <t>世帯年収</t>
  </si>
  <si>
    <t>年間支出</t>
  </si>
  <si>
    <t>⑤ 金融資産・運用</t>
  </si>
  <si>
    <t>■ 基準年時点の金融資産残高</t>
  </si>
  <si>
    <t>資産種別</t>
  </si>
  <si>
    <t>残高(万円)</t>
  </si>
  <si>
    <t>想定利回り(年)</t>
  </si>
  <si>
    <t>普通預金</t>
  </si>
  <si>
    <t>0.01%</t>
  </si>
  <si>
    <t>定期預金</t>
  </si>
  <si>
    <t>0.10%</t>
  </si>
  <si>
    <t>財形住宅貯蓄</t>
  </si>
  <si>
    <t>（住宅取得後は普通預金扱い）</t>
  </si>
  <si>
    <t>株式・投信(NISA)</t>
  </si>
  <si>
    <t>想定利回り4%</t>
  </si>
  <si>
    <t>iDeCo</t>
  </si>
  <si>
    <t>■ CF算出用：貯蓄資産全体の運用利回り（年）</t>
  </si>
  <si>
    <t>全体平均運用利回り(年)</t>
  </si>
  <si>
    <t>平均0.5%（保守試算）。引き上げ時はリスクを考慮</t>
  </si>
  <si>
    <t>⑥ 保険</t>
  </si>
  <si>
    <t>■ 加入保険一覧</t>
  </si>
  <si>
    <t>商品名</t>
  </si>
  <si>
    <t>契約者</t>
  </si>
  <si>
    <t>保険金額(万円)</t>
  </si>
  <si>
    <t>年間保険料(万円)</t>
  </si>
  <si>
    <t>開始年</t>
  </si>
  <si>
    <t>ロングサポート生命</t>
  </si>
  <si>
    <t>定期保険</t>
  </si>
  <si>
    <t>夫</t>
  </si>
  <si>
    <t>プランニング共済</t>
  </si>
  <si>
    <t>総合保障</t>
  </si>
  <si>
    <t>妻</t>
  </si>
  <si>
    <t>学資保険</t>
  </si>
  <si>
    <t>損害保険</t>
  </si>
  <si>
    <t>自動車+火災</t>
  </si>
  <si>
    <t>⑦ ライフイベント表（ご本人の人生100年カレンダー）</t>
  </si>
  <si>
    <t>本人 年齢</t>
  </si>
  <si>
    <t>配偶者 年齢</t>
  </si>
  <si>
    <t>子1 年齢</t>
  </si>
  <si>
    <t>子2 年齢</t>
  </si>
  <si>
    <t>子3 年齢</t>
  </si>
  <si>
    <t>子4 年齢</t>
  </si>
  <si>
    <t>子5 年齢</t>
  </si>
  <si>
    <t>ライフ
ステージ</t>
  </si>
  <si>
    <t>本人 イベント</t>
  </si>
  <si>
    <t>家計 イベント</t>
  </si>
  <si>
    <t>形成期</t>
  </si>
  <si>
    <t>子1 保育園入園</t>
  </si>
  <si>
    <t>子2 保育園入園</t>
  </si>
  <si>
    <t>子1 小学校入学</t>
  </si>
  <si>
    <t>成熟期</t>
  </si>
  <si>
    <t>子2 小学校入学</t>
  </si>
  <si>
    <t>子1 中学校入学 子3 保育園入園</t>
  </si>
  <si>
    <t>子2 中学校入学　子4 保育園入園</t>
  </si>
  <si>
    <t>子1 高校入学 子3 小学校入学</t>
  </si>
  <si>
    <t>子5 保育園入園</t>
  </si>
  <si>
    <t>子2 高校入学 子4 小学校入学</t>
  </si>
  <si>
    <t>準備期</t>
  </si>
  <si>
    <t>子1 大学入学</t>
  </si>
  <si>
    <t>子5 小学校入学</t>
  </si>
  <si>
    <t>子2 大学入学</t>
  </si>
  <si>
    <t>子3 中学校入学</t>
  </si>
  <si>
    <t>子1 就職</t>
  </si>
  <si>
    <t>子4 中学校入学</t>
  </si>
  <si>
    <t>子2 就職 子3 高校入学</t>
  </si>
  <si>
    <t>子5 中学校入学</t>
  </si>
  <si>
    <t>子3 高校入学</t>
  </si>
  <si>
    <t>子3 大学入学  住宅ローン①完済 住宅ローン②完済</t>
  </si>
  <si>
    <t>退職移行期</t>
  </si>
  <si>
    <t xml:space="preserve">子1 結婚予定 </t>
  </si>
  <si>
    <t>子4 大学入学</t>
  </si>
  <si>
    <t>子2 結婚予定</t>
  </si>
  <si>
    <t>子3 就職  子5 大学入学</t>
  </si>
  <si>
    <t>子4 就職</t>
  </si>
  <si>
    <t>子5 就職</t>
  </si>
  <si>
    <t>子3 結婚予定</t>
  </si>
  <si>
    <t>老後安定期</t>
  </si>
  <si>
    <t>再就職終了</t>
  </si>
  <si>
    <t>子4 結婚予定</t>
  </si>
  <si>
    <t>子5 結婚予定</t>
  </si>
  <si>
    <t>後期高齢期</t>
  </si>
  <si>
    <t>長寿期</t>
  </si>
  <si>
    <t>100歳到達</t>
  </si>
  <si>
    <t>⑨ 全国平均比較（年齢×世帯構成）</t>
  </si>
  <si>
    <t>出典：総務省「家計調査（2024年）」、国税庁「民間給与実態統計調査（2024年）」を参考とした概算値。世帯構成補正係数は標準値（家計調査・世帯人員別データから抽出）。</t>
  </si>
  <si>
    <t>■ 比較条件（扶養者基準）</t>
  </si>
  <si>
    <t>扶養者の年齢</t>
  </si>
  <si>
    <t>（基本情報シートから自動取得）</t>
  </si>
  <si>
    <t>配偶者の有無</t>
  </si>
  <si>
    <t>子の人数</t>
  </si>
  <si>
    <t>人</t>
  </si>
  <si>
    <t>想定世帯人数</t>
  </si>
  <si>
    <t>■ 参考データ：年齢階層別 平均年収・年間支出（万円）</t>
  </si>
  <si>
    <t>年齢階層</t>
  </si>
  <si>
    <t>下限年齢</t>
  </si>
  <si>
    <t>上限年齢</t>
  </si>
  <si>
    <t>年間消費支出(万円)</t>
  </si>
  <si>
    <t>～29歳</t>
  </si>
  <si>
    <t>若年層</t>
  </si>
  <si>
    <t>30〜34歳</t>
  </si>
  <si>
    <t>35〜39歳</t>
  </si>
  <si>
    <t>40〜44歳</t>
  </si>
  <si>
    <t>中堅層</t>
  </si>
  <si>
    <t>45〜49歳</t>
  </si>
  <si>
    <t>50〜54歳</t>
  </si>
  <si>
    <t>55〜59歳</t>
  </si>
  <si>
    <t>60〜64歳</t>
  </si>
  <si>
    <t>再雇用層</t>
  </si>
  <si>
    <t>65〜69歳</t>
  </si>
  <si>
    <t>年金移行</t>
  </si>
  <si>
    <t>70〜74歳</t>
  </si>
  <si>
    <t>75歳〜</t>
  </si>
  <si>
    <t>高齢期</t>
  </si>
  <si>
    <t>■ 世帯人数による補正係数（家計調査ベース・概算）</t>
  </si>
  <si>
    <t>収入係数</t>
  </si>
  <si>
    <t>支出係数</t>
  </si>
  <si>
    <t>単身</t>
  </si>
  <si>
    <t>夫婦のみ</t>
  </si>
  <si>
    <t>標準（基準）</t>
  </si>
  <si>
    <t>夫婦＋子2</t>
  </si>
  <si>
    <t>夫婦＋子3</t>
  </si>
  <si>
    <t>拡大世帯</t>
  </si>
  <si>
    <t>■ 比較結果（基準年）</t>
  </si>
  <si>
    <t>全国平均(補正後)</t>
  </si>
  <si>
    <t>差額</t>
  </si>
  <si>
    <t>判定</t>
  </si>
  <si>
    <t>年間収支(年収-支出)</t>
  </si>
  <si>
    <t xml:space="preserve">夫定年退職  </t>
    <phoneticPr fontId="37"/>
  </si>
  <si>
    <t>夫年金開始 妻定年退職</t>
    <phoneticPr fontId="37"/>
  </si>
  <si>
    <t>妻年金開始</t>
    <phoneticPr fontId="37"/>
  </si>
  <si>
    <t>　・既定値はサンプル提案書（山田家）を初期値として設定。実数値で上書きしてご利用ください。</t>
    <rPh sb="14" eb="16">
      <t>ヤマダ</t>
    </rPh>
    <phoneticPr fontId="37"/>
  </si>
  <si>
    <t>【総合評価】基準年2022年時点では、夫35歳・妻34歳、初期金融資産500万円、夫婦の年収合計は800万円、可処分所得は約637万円と収入面の基礎力があります。一方、住宅取得後の借入総額は3,900万円、年間返済は約181.7万円で、家計に占める固定支出が大きい点が最大の注意点です。さらに子ども5人を前提にすると、2030年代以降は教育費、学資保険、車の買替、旅行、結婚資金援助などが重なり、年間収支がマイナスとなる年が多く見込まれます。退職金1,500万円と65歳以降の年金年額312万円により老後期は一定の回復余地がありますが、教育期から退職直前までの資金繰りを誤ると、貯蓄残高が大きく目減りする可能性があります。全国平均比較では収入は上回る一方、支出も大きく上回る傾向のため、生活費・レジャー・車両費・保険料の定期見直しが重要です。特に教育費の山と住宅ローン返済期間が重なる時期は、毎年の赤字額だけでなく累積残高で確認し、予定外支出に備える必要があります。今後は、①生活防衛資金の確保、②教育費専用積立、③住宅ローン完済までの繰上返済余力確認、④NISA等を含む中長期運用、⑤退職前後の働き方設計を一体で進めることで、家族の希望を守りながら安定したライフプランに近づけます。</t>
  </si>
  <si>
    <r>
      <rPr>
        <b/>
        <sz val="11"/>
        <color theme="1"/>
        <rFont val="ＭＳ ゴシック"/>
        <family val="3"/>
        <charset val="128"/>
      </rPr>
      <t>あなたは経験豊富なキャリコンと</t>
    </r>
    <r>
      <rPr>
        <b/>
        <sz val="11"/>
        <color theme="1"/>
        <rFont val="Verdana"/>
        <family val="2"/>
      </rPr>
      <t>CFP</t>
    </r>
    <r>
      <rPr>
        <b/>
        <sz val="11"/>
        <color theme="1"/>
        <rFont val="ＭＳ ゴシック"/>
        <family val="3"/>
        <charset val="128"/>
      </rPr>
      <t>です。</t>
    </r>
    <r>
      <rPr>
        <b/>
        <sz val="11"/>
        <color theme="1"/>
        <rFont val="Verdana"/>
        <family val="2"/>
      </rPr>
      <t>#</t>
    </r>
    <r>
      <rPr>
        <b/>
        <sz val="11"/>
        <color theme="1"/>
        <rFont val="ＭＳ ゴシック"/>
        <family val="3"/>
        <charset val="128"/>
      </rPr>
      <t>「ダッシュボード」シートの</t>
    </r>
    <r>
      <rPr>
        <b/>
        <sz val="11"/>
        <color theme="1"/>
        <rFont val="Verdana"/>
        <family val="2"/>
      </rPr>
      <t>D5</t>
    </r>
    <r>
      <rPr>
        <b/>
        <sz val="11"/>
        <color theme="1"/>
        <rFont val="ＭＳ ゴシック"/>
        <family val="3"/>
        <charset val="128"/>
      </rPr>
      <t>～</t>
    </r>
    <r>
      <rPr>
        <b/>
        <sz val="11"/>
        <color theme="1"/>
        <rFont val="Verdana"/>
        <family val="2"/>
      </rPr>
      <t>N11</t>
    </r>
    <r>
      <rPr>
        <b/>
        <sz val="11"/>
        <color theme="1"/>
        <rFont val="ＭＳ ゴシック"/>
        <family val="3"/>
        <charset val="128"/>
      </rPr>
      <t>のスペースに全シートを参照のうえ「ダッシュボード」シートに集計された情報を参照し【総合評価】として</t>
    </r>
    <r>
      <rPr>
        <b/>
        <sz val="11"/>
        <color theme="1"/>
        <rFont val="Verdana"/>
        <family val="2"/>
      </rPr>
      <t>800</t>
    </r>
    <r>
      <rPr>
        <b/>
        <sz val="11"/>
        <color theme="1"/>
        <rFont val="ＭＳ ゴシック"/>
        <family val="3"/>
        <charset val="128"/>
      </rPr>
      <t>文字程度で記載してください。</t>
    </r>
    <phoneticPr fontId="37"/>
  </si>
  <si>
    <r>
      <rPr>
        <b/>
        <sz val="12"/>
        <color rgb="FFFFFFFF"/>
        <rFont val="Segoe UI Symbol"/>
        <family val="2"/>
      </rPr>
      <t>■</t>
    </r>
    <r>
      <rPr>
        <b/>
        <sz val="12"/>
        <color rgb="FFFFFFFF"/>
        <rFont val="Verdana"/>
        <family val="2"/>
      </rPr>
      <t xml:space="preserve"> </t>
    </r>
    <r>
      <rPr>
        <b/>
        <sz val="12"/>
        <color rgb="FFFFFFFF"/>
        <rFont val="ＭＳ ゴシック"/>
        <family val="3"/>
        <charset val="128"/>
      </rPr>
      <t>主要指標</t>
    </r>
    <r>
      <rPr>
        <b/>
        <sz val="12"/>
        <color rgb="FFFFFFFF"/>
        <rFont val="Verdana"/>
        <family val="2"/>
      </rPr>
      <t xml:space="preserve">             </t>
    </r>
    <r>
      <rPr>
        <b/>
        <sz val="12"/>
        <color rgb="FFFFFFFF"/>
        <rFont val="ＭＳ Ｐゴシック"/>
        <family val="2"/>
        <charset val="128"/>
      </rPr>
      <t>　　　　　　　　　　　</t>
    </r>
    <r>
      <rPr>
        <b/>
        <sz val="12"/>
        <color rgb="FFFFFFFF"/>
        <rFont val="Verdana"/>
        <family val="2"/>
      </rPr>
      <t xml:space="preserve"> </t>
    </r>
    <r>
      <rPr>
        <b/>
        <sz val="12"/>
        <color rgb="FFFFFFFF"/>
        <rFont val="ＭＳ Ｐゴシック"/>
        <family val="2"/>
        <charset val="128"/>
      </rPr>
      <t>以下は当システムに記載されたデータを「生成</t>
    </r>
    <r>
      <rPr>
        <b/>
        <sz val="12"/>
        <color rgb="FFFFFFFF"/>
        <rFont val="Verdana"/>
        <family val="2"/>
      </rPr>
      <t>AI</t>
    </r>
    <r>
      <rPr>
        <b/>
        <sz val="12"/>
        <color rgb="FFFFFFFF"/>
        <rFont val="ＭＳ Ｐゴシック"/>
        <family val="2"/>
        <charset val="128"/>
      </rPr>
      <t xml:space="preserve">　 </t>
    </r>
    <r>
      <rPr>
        <b/>
        <sz val="12"/>
        <color rgb="FFFFFFFF"/>
        <rFont val="Verdana"/>
        <family val="2"/>
      </rPr>
      <t>ChatGDP</t>
    </r>
    <r>
      <rPr>
        <b/>
        <sz val="12"/>
        <color rgb="FFFFFFFF"/>
        <rFont val="ＭＳ Ｐゴシック"/>
        <family val="2"/>
        <charset val="128"/>
      </rPr>
      <t>」に熟考・評価された【総合評価】です。</t>
    </r>
    <rPh sb="31" eb="33">
      <t>イカ</t>
    </rPh>
    <rPh sb="34" eb="35">
      <t>トウ</t>
    </rPh>
    <rPh sb="40" eb="42">
      <t>キサイ</t>
    </rPh>
    <rPh sb="50" eb="52">
      <t>セイセイ</t>
    </rPh>
    <rPh sb="65" eb="67">
      <t>ジュッコウ</t>
    </rPh>
    <rPh sb="68" eb="70">
      <t>ヒョウカ</t>
    </rPh>
    <rPh sb="74" eb="76">
      <t>ソウゴウ</t>
    </rPh>
    <rPh sb="76" eb="78">
      <t>ヒョウカ</t>
    </rPh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</si>
</sst>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/yyyy"/>
    <numFmt numFmtId="177" formatCode="0.0%"/>
    <numFmt numFmtId="178" formatCode="0.000%"/>
    <numFmt numFmtId="179" formatCode="#,##0.0"/>
  </numFmts>
  <fonts count="47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8"/>
      <color rgb="FFFFFFFF"/>
      <name val="Verdana"/>
      <family val="2"/>
    </font>
    <font>
      <b/>
      <sz val="12"/>
      <color rgb="FF000000"/>
      <name val="Verdana"/>
      <family val="2"/>
    </font>
    <font>
      <b/>
      <sz val="12"/>
      <color rgb="FF1F4E78"/>
      <name val="Verdana"/>
      <family val="2"/>
    </font>
    <font>
      <b/>
      <sz val="11"/>
      <color rgb="FF000000"/>
      <name val="Verdana"/>
      <family val="2"/>
    </font>
    <font>
      <b/>
      <sz val="11"/>
      <color theme="1"/>
      <name val="Calibri"/>
      <family val="2"/>
    </font>
    <font>
      <sz val="11"/>
      <color rgb="FF000000"/>
      <name val="Noto Sans"/>
      <family val="3"/>
      <charset val="128"/>
    </font>
    <font>
      <b/>
      <sz val="11"/>
      <color theme="1"/>
      <name val="Verdana"/>
      <family val="2"/>
    </font>
    <font>
      <i/>
      <sz val="10"/>
      <color rgb="FFC00000"/>
      <name val="Verdana"/>
      <family val="2"/>
    </font>
    <font>
      <b/>
      <sz val="14"/>
      <color rgb="FFFFFFFF"/>
      <name val="Verdana"/>
      <family val="2"/>
    </font>
    <font>
      <b/>
      <sz val="11"/>
      <color rgb="FF000000"/>
      <name val="Yu Gothic"/>
      <family val="3"/>
      <charset val="128"/>
    </font>
    <font>
      <sz val="10"/>
      <color rgb="FF666666"/>
      <name val="Verdana"/>
      <family val="2"/>
    </font>
    <font>
      <b/>
      <sz val="11"/>
      <color rgb="FFFFFFFF"/>
      <name val="Verdana"/>
      <family val="2"/>
    </font>
    <font>
      <b/>
      <sz val="11"/>
      <color rgb="FFFFFFFF"/>
      <name val="Yu Gothic"/>
      <family val="3"/>
      <charset val="128"/>
    </font>
    <font>
      <b/>
      <sz val="11"/>
      <color rgb="FF000000"/>
      <name val="Noto Sans"/>
      <family val="3"/>
      <charset val="128"/>
    </font>
    <font>
      <b/>
      <sz val="12"/>
      <color rgb="FFFFFFFF"/>
      <name val="Verdana"/>
      <family val="2"/>
    </font>
    <font>
      <b/>
      <sz val="11"/>
      <color rgb="FF666666"/>
      <name val="Verdana"/>
      <family val="2"/>
    </font>
    <font>
      <b/>
      <sz val="11"/>
      <color rgb="FF666666"/>
      <name val="Yu Gothic"/>
      <family val="3"/>
      <charset val="128"/>
    </font>
    <font>
      <sz val="11"/>
      <color rgb="FF000000"/>
      <name val="Yu Gothic"/>
      <family val="3"/>
      <charset val="128"/>
    </font>
    <font>
      <sz val="11"/>
      <color rgb="FF666666"/>
      <name val="Verdana"/>
      <family val="2"/>
    </font>
    <font>
      <b/>
      <sz val="14"/>
      <color theme="1"/>
      <name val="Verdana"/>
      <family val="2"/>
    </font>
    <font>
      <b/>
      <sz val="11"/>
      <color theme="1"/>
      <name val="Noto Sans"/>
      <family val="3"/>
      <charset val="128"/>
    </font>
    <font>
      <b/>
      <sz val="11"/>
      <color theme="1"/>
      <name val="Cambria"/>
      <family val="1"/>
    </font>
    <font>
      <sz val="14"/>
      <color theme="1"/>
      <name val="Verdana"/>
      <family val="2"/>
    </font>
    <font>
      <b/>
      <sz val="11"/>
      <color theme="1"/>
      <name val="ＭＳ ゴシック"/>
      <family val="3"/>
      <charset val="128"/>
    </font>
    <font>
      <i/>
      <sz val="9"/>
      <color theme="1"/>
      <name val="Verdana"/>
      <family val="2"/>
    </font>
    <font>
      <b/>
      <sz val="12"/>
      <color rgb="FFFFFFFF"/>
      <name val="Yu Gothic"/>
      <family val="3"/>
      <charset val="128"/>
    </font>
    <font>
      <b/>
      <sz val="9"/>
      <color rgb="FF666666"/>
      <name val="Verdana"/>
      <family val="2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sz val="11"/>
      <color theme="1"/>
      <name val="Yu Gothic"/>
      <family val="3"/>
      <charset val="128"/>
    </font>
    <font>
      <sz val="11"/>
      <color rgb="FF000000"/>
      <name val="ＭＳ ゴシック"/>
      <family val="3"/>
      <charset val="128"/>
    </font>
    <font>
      <i/>
      <sz val="10"/>
      <color rgb="FF666666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Yu Gothic"/>
      <family val="3"/>
      <charset val="128"/>
    </font>
    <font>
      <b/>
      <i/>
      <sz val="10"/>
      <color rgb="FF666666"/>
      <name val="Verdana"/>
      <family val="2"/>
    </font>
    <font>
      <sz val="6"/>
      <name val="Calibri"/>
      <family val="3"/>
      <charset val="128"/>
      <scheme val="minor"/>
    </font>
    <font>
      <sz val="11"/>
      <name val="Verdana"/>
      <family val="2"/>
    </font>
    <font>
      <b/>
      <sz val="11"/>
      <color rgb="FFFF0000"/>
      <name val="ＭＳ ゴシック"/>
      <family val="3"/>
      <charset val="128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3"/>
      <charset val="128"/>
    </font>
    <font>
      <sz val="10"/>
      <color rgb="FF1F2937"/>
      <name val="Yu Gothic"/>
      <family val="3"/>
      <charset val="128"/>
    </font>
    <font>
      <b/>
      <sz val="12"/>
      <color rgb="FFFFFFFF"/>
      <name val="ＭＳ ゴシック"/>
      <family val="3"/>
      <charset val="128"/>
    </font>
    <font>
      <b/>
      <sz val="12"/>
      <color rgb="FFFFFFFF"/>
      <name val="Segoe UI Symbol"/>
      <family val="2"/>
    </font>
    <font>
      <b/>
      <sz val="12"/>
      <color rgb="FFFFFFFF"/>
      <name val="ＭＳ Ｐゴシック"/>
      <family val="2"/>
      <charset val="128"/>
    </font>
  </fonts>
  <fills count="20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D5E8F0"/>
        <bgColor rgb="FFD5E8F0"/>
      </patternFill>
    </fill>
    <fill>
      <patternFill patternType="solid">
        <fgColor rgb="FFFFFF99"/>
        <bgColor rgb="FFFFFF99"/>
      </patternFill>
    </fill>
    <fill>
      <patternFill patternType="solid">
        <fgColor rgb="FFDDD9C3"/>
        <bgColor rgb="FFDDD9C3"/>
      </patternFill>
    </fill>
    <fill>
      <patternFill patternType="solid">
        <fgColor rgb="FFFBD4B4"/>
        <bgColor rgb="FFFBD4B4"/>
      </patternFill>
    </fill>
    <fill>
      <patternFill patternType="solid">
        <fgColor rgb="FFEAF1DD"/>
        <bgColor rgb="FFEAF1DD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E699"/>
        <bgColor rgb="FFFFE699"/>
      </patternFill>
    </fill>
    <fill>
      <patternFill patternType="solid">
        <fgColor rgb="FFDBE5F1"/>
        <bgColor rgb="FFDBE5F1"/>
      </patternFill>
    </fill>
    <fill>
      <patternFill patternType="solid">
        <fgColor rgb="FFEAF3F7"/>
        <bgColor rgb="FFEAF3F7"/>
      </patternFill>
    </fill>
    <fill>
      <patternFill patternType="solid">
        <fgColor rgb="FFC2D69B"/>
        <bgColor rgb="FFC2D69B"/>
      </patternFill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rgb="FFFFC000"/>
      </patternFill>
    </fill>
    <fill>
      <patternFill patternType="solid">
        <fgColor theme="9" tint="0.79998168889431442"/>
        <bgColor rgb="FFF2F2F2"/>
      </patternFill>
    </fill>
    <fill>
      <patternFill patternType="solid">
        <fgColor rgb="FFEAF2E1"/>
      </patternFill>
    </fill>
  </fills>
  <borders count="6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rgb="FF000000"/>
      </left>
      <right/>
      <top style="medium">
        <color rgb="FF000000"/>
      </top>
      <bottom style="thin">
        <color rgb="FF999999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999999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999999"/>
      </top>
      <bottom style="thin">
        <color rgb="FF999999"/>
      </bottom>
      <diagonal/>
    </border>
    <border>
      <left style="medium">
        <color rgb="FF000000"/>
      </left>
      <right style="medium">
        <color rgb="FF000000"/>
      </right>
      <top style="thin">
        <color rgb="FF999999"/>
      </top>
      <bottom style="thin">
        <color rgb="FF99999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999999"/>
      </top>
      <bottom/>
      <diagonal/>
    </border>
    <border>
      <left style="medium">
        <color rgb="FF000000"/>
      </left>
      <right style="medium">
        <color rgb="FF000000"/>
      </right>
      <top style="thin">
        <color rgb="FF999999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999999"/>
      </top>
      <bottom style="thin">
        <color rgb="FF999999"/>
      </bottom>
      <diagonal/>
    </border>
    <border>
      <left style="medium">
        <color rgb="FF000000"/>
      </left>
      <right/>
      <top style="thin">
        <color rgb="FF999999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999999"/>
      </top>
      <bottom style="medium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000000"/>
      </left>
      <right style="thin">
        <color rgb="FF999999"/>
      </right>
      <top style="thin">
        <color rgb="FF000000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000000"/>
      </top>
      <bottom style="thin">
        <color rgb="FF999999"/>
      </bottom>
      <diagonal/>
    </border>
    <border>
      <left style="thin">
        <color rgb="FF999999"/>
      </left>
      <right style="thin">
        <color rgb="FF000000"/>
      </right>
      <top style="thin">
        <color rgb="FF000000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000000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000000"/>
      </right>
      <top style="thin">
        <color rgb="FF999999"/>
      </top>
      <bottom style="thin">
        <color rgb="FF999999"/>
      </bottom>
      <diagonal/>
    </border>
    <border>
      <left style="thin">
        <color rgb="FF000000"/>
      </left>
      <right style="thin">
        <color rgb="FF999999"/>
      </right>
      <top style="thin">
        <color rgb="FF999999"/>
      </top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000000"/>
      </bottom>
      <diagonal/>
    </border>
    <border>
      <left style="thin">
        <color rgb="FF999999"/>
      </left>
      <right style="thin">
        <color rgb="FF000000"/>
      </right>
      <top style="thin">
        <color rgb="FF999999"/>
      </top>
      <bottom style="thin">
        <color rgb="FF000000"/>
      </bottom>
      <diagonal/>
    </border>
    <border>
      <left style="thin">
        <color rgb="FF000000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000000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000000"/>
      </left>
      <right style="thin">
        <color rgb="FF999999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medium">
        <color rgb="FF000000"/>
      </left>
      <right style="thin">
        <color rgb="FF999999"/>
      </right>
      <top style="medium">
        <color rgb="FF000000"/>
      </top>
      <bottom style="medium">
        <color rgb="FF000000"/>
      </bottom>
      <diagonal/>
    </border>
    <border>
      <left style="thin">
        <color rgb="FF999999"/>
      </left>
      <right style="thin">
        <color rgb="FF999999"/>
      </right>
      <top style="medium">
        <color rgb="FF000000"/>
      </top>
      <bottom style="medium">
        <color rgb="FF000000"/>
      </bottom>
      <diagonal/>
    </border>
    <border>
      <left style="thin">
        <color rgb="FF999999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11"/>
  </cellStyleXfs>
  <cellXfs count="258">
    <xf numFmtId="0" fontId="0" fillId="0" borderId="0" xfId="0" applyBorder="1"/>
    <xf numFmtId="0" fontId="1" fillId="0" borderId="0" xfId="0" applyFont="1" applyBorder="1"/>
    <xf numFmtId="0" fontId="1" fillId="0" borderId="3" xfId="0" applyFont="1" applyBorder="1"/>
    <xf numFmtId="0" fontId="1" fillId="0" borderId="4" xfId="0" applyFont="1" applyBorder="1"/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0" xfId="0" applyFont="1" applyBorder="1"/>
    <xf numFmtId="0" fontId="6" fillId="0" borderId="4" xfId="0" applyFont="1" applyBorder="1"/>
    <xf numFmtId="0" fontId="7" fillId="0" borderId="3" xfId="0" applyFont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6" fillId="4" borderId="6" xfId="0" applyFont="1" applyFill="1" applyBorder="1"/>
    <xf numFmtId="0" fontId="6" fillId="4" borderId="7" xfId="0" applyFont="1" applyFill="1" applyBorder="1"/>
    <xf numFmtId="0" fontId="5" fillId="5" borderId="5" xfId="0" applyFont="1" applyFill="1" applyBorder="1" applyAlignment="1">
      <alignment horizontal="left" vertical="center"/>
    </xf>
    <xf numFmtId="0" fontId="6" fillId="5" borderId="6" xfId="0" applyFont="1" applyFill="1" applyBorder="1"/>
    <xf numFmtId="0" fontId="6" fillId="5" borderId="7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5" fillId="3" borderId="12" xfId="0" applyFont="1" applyFill="1" applyBorder="1" applyAlignment="1">
      <alignment horizontal="left" vertical="center"/>
    </xf>
    <xf numFmtId="1" fontId="11" fillId="8" borderId="12" xfId="0" applyNumberFormat="1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2" borderId="12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left" vertical="center"/>
    </xf>
    <xf numFmtId="176" fontId="11" fillId="8" borderId="12" xfId="0" applyNumberFormat="1" applyFont="1" applyFill="1" applyBorder="1" applyAlignment="1">
      <alignment horizontal="left" vertical="center"/>
    </xf>
    <xf numFmtId="1" fontId="11" fillId="9" borderId="12" xfId="0" applyNumberFormat="1" applyFont="1" applyFill="1" applyBorder="1" applyAlignment="1">
      <alignment horizontal="left" vertical="center"/>
    </xf>
    <xf numFmtId="0" fontId="15" fillId="8" borderId="12" xfId="0" applyFont="1" applyFill="1" applyBorder="1" applyAlignment="1">
      <alignment horizontal="left" vertical="center"/>
    </xf>
    <xf numFmtId="3" fontId="11" fillId="8" borderId="12" xfId="0" applyNumberFormat="1" applyFont="1" applyFill="1" applyBorder="1" applyAlignment="1">
      <alignment horizontal="left" vertical="center"/>
    </xf>
    <xf numFmtId="0" fontId="17" fillId="10" borderId="12" xfId="0" applyFont="1" applyFill="1" applyBorder="1" applyAlignment="1">
      <alignment horizontal="left" vertical="center"/>
    </xf>
    <xf numFmtId="0" fontId="18" fillId="10" borderId="12" xfId="0" applyFont="1" applyFill="1" applyBorder="1" applyAlignment="1">
      <alignment horizontal="left" vertical="center"/>
    </xf>
    <xf numFmtId="177" fontId="11" fillId="8" borderId="12" xfId="0" applyNumberFormat="1" applyFont="1" applyFill="1" applyBorder="1" applyAlignment="1">
      <alignment horizontal="left" vertical="center"/>
    </xf>
    <xf numFmtId="1" fontId="19" fillId="8" borderId="12" xfId="0" applyNumberFormat="1" applyFont="1" applyFill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1" fontId="11" fillId="9" borderId="14" xfId="0" applyNumberFormat="1" applyFont="1" applyFill="1" applyBorder="1" applyAlignment="1">
      <alignment horizontal="left" vertical="center"/>
    </xf>
    <xf numFmtId="0" fontId="17" fillId="9" borderId="15" xfId="0" applyFont="1" applyFill="1" applyBorder="1" applyAlignment="1">
      <alignment horizontal="left" vertical="center"/>
    </xf>
    <xf numFmtId="0" fontId="6" fillId="9" borderId="16" xfId="0" applyFont="1" applyFill="1" applyBorder="1"/>
    <xf numFmtId="0" fontId="6" fillId="9" borderId="17" xfId="0" applyFont="1" applyFill="1" applyBorder="1"/>
    <xf numFmtId="0" fontId="1" fillId="0" borderId="2" xfId="0" applyFont="1" applyBorder="1"/>
    <xf numFmtId="0" fontId="5" fillId="3" borderId="18" xfId="0" applyFont="1" applyFill="1" applyBorder="1" applyAlignment="1">
      <alignment horizontal="left" vertical="center"/>
    </xf>
    <xf numFmtId="1" fontId="11" fillId="8" borderId="19" xfId="0" applyNumberFormat="1" applyFont="1" applyFill="1" applyBorder="1" applyAlignment="1">
      <alignment horizontal="left" vertical="center"/>
    </xf>
    <xf numFmtId="0" fontId="17" fillId="9" borderId="20" xfId="0" applyFont="1" applyFill="1" applyBorder="1" applyAlignment="1">
      <alignment horizontal="left" vertical="center"/>
    </xf>
    <xf numFmtId="0" fontId="6" fillId="9" borderId="21" xfId="0" applyFont="1" applyFill="1" applyBorder="1"/>
    <xf numFmtId="0" fontId="6" fillId="9" borderId="22" xfId="0" applyFont="1" applyFill="1" applyBorder="1"/>
    <xf numFmtId="0" fontId="5" fillId="3" borderId="23" xfId="0" applyFont="1" applyFill="1" applyBorder="1" applyAlignment="1">
      <alignment horizontal="left" vertical="center"/>
    </xf>
    <xf numFmtId="1" fontId="11" fillId="8" borderId="24" xfId="0" applyNumberFormat="1" applyFont="1" applyFill="1" applyBorder="1" applyAlignment="1">
      <alignment horizontal="left" vertical="center"/>
    </xf>
    <xf numFmtId="0" fontId="17" fillId="9" borderId="25" xfId="0" applyFont="1" applyFill="1" applyBorder="1" applyAlignment="1">
      <alignment horizontal="left" vertical="center"/>
    </xf>
    <xf numFmtId="0" fontId="6" fillId="9" borderId="26" xfId="0" applyFont="1" applyFill="1" applyBorder="1"/>
    <xf numFmtId="0" fontId="6" fillId="9" borderId="27" xfId="0" applyFont="1" applyFill="1" applyBorder="1"/>
    <xf numFmtId="0" fontId="1" fillId="0" borderId="28" xfId="0" applyFont="1" applyBorder="1"/>
    <xf numFmtId="0" fontId="1" fillId="0" borderId="17" xfId="0" applyFont="1" applyBorder="1"/>
    <xf numFmtId="0" fontId="5" fillId="3" borderId="18" xfId="0" applyFont="1" applyFill="1" applyBorder="1" applyAlignment="1">
      <alignment horizontal="left" vertical="center" wrapText="1"/>
    </xf>
    <xf numFmtId="0" fontId="1" fillId="0" borderId="29" xfId="0" applyFont="1" applyBorder="1" applyAlignment="1">
      <alignment wrapText="1"/>
    </xf>
    <xf numFmtId="0" fontId="5" fillId="3" borderId="30" xfId="0" applyFont="1" applyFill="1" applyBorder="1" applyAlignment="1">
      <alignment horizontal="left" vertical="center"/>
    </xf>
    <xf numFmtId="0" fontId="17" fillId="9" borderId="31" xfId="0" applyFont="1" applyFill="1" applyBorder="1" applyAlignment="1">
      <alignment horizontal="left" vertical="center"/>
    </xf>
    <xf numFmtId="0" fontId="6" fillId="9" borderId="32" xfId="0" applyFont="1" applyFill="1" applyBorder="1"/>
    <xf numFmtId="0" fontId="1" fillId="0" borderId="33" xfId="0" applyFont="1" applyBorder="1"/>
    <xf numFmtId="0" fontId="6" fillId="9" borderId="33" xfId="0" applyFont="1" applyFill="1" applyBorder="1"/>
    <xf numFmtId="1" fontId="11" fillId="8" borderId="34" xfId="0" applyNumberFormat="1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horizontal="center" vertical="center"/>
    </xf>
    <xf numFmtId="0" fontId="5" fillId="10" borderId="36" xfId="0" applyFont="1" applyFill="1" applyBorder="1" applyAlignment="1">
      <alignment horizontal="left" vertical="center"/>
    </xf>
    <xf numFmtId="3" fontId="15" fillId="8" borderId="37" xfId="0" applyNumberFormat="1" applyFont="1" applyFill="1" applyBorder="1" applyAlignment="1">
      <alignment horizontal="left" vertical="center"/>
    </xf>
    <xf numFmtId="1" fontId="15" fillId="9" borderId="37" xfId="0" applyNumberFormat="1" applyFont="1" applyFill="1" applyBorder="1" applyAlignment="1">
      <alignment horizontal="left" vertical="center"/>
    </xf>
    <xf numFmtId="0" fontId="5" fillId="8" borderId="38" xfId="0" applyFont="1" applyFill="1" applyBorder="1" applyAlignment="1">
      <alignment horizontal="left" vertical="center"/>
    </xf>
    <xf numFmtId="0" fontId="5" fillId="9" borderId="39" xfId="0" applyFont="1" applyFill="1" applyBorder="1" applyAlignment="1">
      <alignment horizontal="left" vertical="center"/>
    </xf>
    <xf numFmtId="0" fontId="5" fillId="10" borderId="40" xfId="0" applyFont="1" applyFill="1" applyBorder="1" applyAlignment="1">
      <alignment horizontal="left" vertical="center"/>
    </xf>
    <xf numFmtId="3" fontId="15" fillId="8" borderId="12" xfId="0" applyNumberFormat="1" applyFont="1" applyFill="1" applyBorder="1" applyAlignment="1">
      <alignment horizontal="left" vertical="center"/>
    </xf>
    <xf numFmtId="1" fontId="15" fillId="9" borderId="12" xfId="0" applyNumberFormat="1" applyFont="1" applyFill="1" applyBorder="1" applyAlignment="1">
      <alignment horizontal="left" vertical="center"/>
    </xf>
    <xf numFmtId="0" fontId="5" fillId="8" borderId="41" xfId="0" applyFont="1" applyFill="1" applyBorder="1" applyAlignment="1">
      <alignment horizontal="left" vertical="center"/>
    </xf>
    <xf numFmtId="0" fontId="5" fillId="10" borderId="42" xfId="0" applyFont="1" applyFill="1" applyBorder="1" applyAlignment="1">
      <alignment horizontal="left" vertical="center"/>
    </xf>
    <xf numFmtId="3" fontId="15" fillId="8" borderId="43" xfId="0" applyNumberFormat="1" applyFont="1" applyFill="1" applyBorder="1" applyAlignment="1">
      <alignment horizontal="left" vertical="center"/>
    </xf>
    <xf numFmtId="1" fontId="15" fillId="9" borderId="43" xfId="0" applyNumberFormat="1" applyFont="1" applyFill="1" applyBorder="1" applyAlignment="1">
      <alignment horizontal="left" vertical="center"/>
    </xf>
    <xf numFmtId="0" fontId="5" fillId="8" borderId="44" xfId="0" applyFont="1" applyFill="1" applyBorder="1" applyAlignment="1">
      <alignment horizontal="left" vertical="center"/>
    </xf>
    <xf numFmtId="0" fontId="15" fillId="8" borderId="38" xfId="0" applyFont="1" applyFill="1" applyBorder="1" applyAlignment="1">
      <alignment horizontal="left" vertical="center"/>
    </xf>
    <xf numFmtId="0" fontId="15" fillId="9" borderId="12" xfId="0" applyFont="1" applyFill="1" applyBorder="1" applyAlignment="1">
      <alignment horizontal="left" vertical="center"/>
    </xf>
    <xf numFmtId="0" fontId="15" fillId="8" borderId="41" xfId="0" applyFont="1" applyFill="1" applyBorder="1" applyAlignment="1">
      <alignment horizontal="left" vertical="center"/>
    </xf>
    <xf numFmtId="0" fontId="15" fillId="9" borderId="43" xfId="0" applyFont="1" applyFill="1" applyBorder="1" applyAlignment="1">
      <alignment horizontal="left" vertical="center"/>
    </xf>
    <xf numFmtId="0" fontId="15" fillId="8" borderId="44" xfId="0" applyFont="1" applyFill="1" applyBorder="1" applyAlignment="1">
      <alignment horizontal="left" vertical="center"/>
    </xf>
    <xf numFmtId="0" fontId="15" fillId="9" borderId="37" xfId="0" applyFont="1" applyFill="1" applyBorder="1" applyAlignment="1">
      <alignment horizontal="left" vertical="center"/>
    </xf>
    <xf numFmtId="0" fontId="5" fillId="10" borderId="45" xfId="0" applyFont="1" applyFill="1" applyBorder="1" applyAlignment="1">
      <alignment horizontal="left" vertical="center"/>
    </xf>
    <xf numFmtId="3" fontId="15" fillId="8" borderId="35" xfId="0" applyNumberFormat="1" applyFont="1" applyFill="1" applyBorder="1" applyAlignment="1">
      <alignment horizontal="left" vertical="center"/>
    </xf>
    <xf numFmtId="0" fontId="15" fillId="9" borderId="35" xfId="0" applyFont="1" applyFill="1" applyBorder="1" applyAlignment="1">
      <alignment horizontal="left" vertical="center"/>
    </xf>
    <xf numFmtId="0" fontId="15" fillId="8" borderId="46" xfId="0" applyFont="1" applyFill="1" applyBorder="1" applyAlignment="1">
      <alignment horizontal="left" vertical="center"/>
    </xf>
    <xf numFmtId="0" fontId="5" fillId="9" borderId="47" xfId="0" applyFont="1" applyFill="1" applyBorder="1" applyAlignment="1">
      <alignment horizontal="left" vertical="center"/>
    </xf>
    <xf numFmtId="0" fontId="5" fillId="10" borderId="48" xfId="0" applyFont="1" applyFill="1" applyBorder="1" applyAlignment="1">
      <alignment horizontal="left" vertical="center"/>
    </xf>
    <xf numFmtId="3" fontId="15" fillId="8" borderId="49" xfId="0" applyNumberFormat="1" applyFont="1" applyFill="1" applyBorder="1" applyAlignment="1">
      <alignment horizontal="left" vertical="center"/>
    </xf>
    <xf numFmtId="1" fontId="15" fillId="9" borderId="49" xfId="0" applyNumberFormat="1" applyFont="1" applyFill="1" applyBorder="1" applyAlignment="1">
      <alignment horizontal="left" vertical="center"/>
    </xf>
    <xf numFmtId="0" fontId="15" fillId="8" borderId="49" xfId="0" applyFont="1" applyFill="1" applyBorder="1" applyAlignment="1">
      <alignment horizontal="left" vertical="center"/>
    </xf>
    <xf numFmtId="0" fontId="5" fillId="9" borderId="50" xfId="0" applyFont="1" applyFill="1" applyBorder="1" applyAlignment="1">
      <alignment horizontal="left" vertical="center"/>
    </xf>
    <xf numFmtId="0" fontId="15" fillId="10" borderId="51" xfId="0" applyFont="1" applyFill="1" applyBorder="1" applyAlignment="1">
      <alignment horizontal="left" vertical="center"/>
    </xf>
    <xf numFmtId="177" fontId="15" fillId="10" borderId="51" xfId="0" applyNumberFormat="1" applyFont="1" applyFill="1" applyBorder="1" applyAlignment="1">
      <alignment horizontal="left" vertical="center"/>
    </xf>
    <xf numFmtId="0" fontId="15" fillId="10" borderId="12" xfId="0" applyFont="1" applyFill="1" applyBorder="1" applyAlignment="1">
      <alignment horizontal="left" vertical="center"/>
    </xf>
    <xf numFmtId="177" fontId="15" fillId="10" borderId="12" xfId="0" applyNumberFormat="1" applyFont="1" applyFill="1" applyBorder="1" applyAlignment="1">
      <alignment horizontal="left" vertical="center"/>
    </xf>
    <xf numFmtId="0" fontId="21" fillId="9" borderId="6" xfId="0" applyFont="1" applyFill="1" applyBorder="1"/>
    <xf numFmtId="0" fontId="6" fillId="9" borderId="6" xfId="0" applyFont="1" applyFill="1" applyBorder="1"/>
    <xf numFmtId="0" fontId="22" fillId="10" borderId="12" xfId="0" applyFont="1" applyFill="1" applyBorder="1" applyAlignment="1">
      <alignment horizontal="left" vertical="center"/>
    </xf>
    <xf numFmtId="0" fontId="23" fillId="10" borderId="12" xfId="0" applyFont="1" applyFill="1" applyBorder="1" applyAlignment="1">
      <alignment horizontal="left" vertical="center"/>
    </xf>
    <xf numFmtId="177" fontId="23" fillId="10" borderId="12" xfId="0" applyNumberFormat="1" applyFont="1" applyFill="1" applyBorder="1" applyAlignment="1">
      <alignment horizontal="left" vertical="center"/>
    </xf>
    <xf numFmtId="0" fontId="8" fillId="0" borderId="0" xfId="0" applyFont="1" applyBorder="1"/>
    <xf numFmtId="0" fontId="5" fillId="9" borderId="12" xfId="0" applyFont="1" applyFill="1" applyBorder="1" applyAlignment="1">
      <alignment horizontal="left" vertical="center"/>
    </xf>
    <xf numFmtId="177" fontId="15" fillId="9" borderId="12" xfId="0" applyNumberFormat="1" applyFont="1" applyFill="1" applyBorder="1" applyAlignment="1">
      <alignment horizontal="left" vertical="center"/>
    </xf>
    <xf numFmtId="0" fontId="8" fillId="9" borderId="6" xfId="0" applyFont="1" applyFill="1" applyBorder="1"/>
    <xf numFmtId="0" fontId="24" fillId="9" borderId="6" xfId="0" applyFont="1" applyFill="1" applyBorder="1"/>
    <xf numFmtId="0" fontId="5" fillId="9" borderId="35" xfId="0" applyFont="1" applyFill="1" applyBorder="1" applyAlignment="1">
      <alignment horizontal="left" vertical="center"/>
    </xf>
    <xf numFmtId="177" fontId="15" fillId="9" borderId="35" xfId="0" applyNumberFormat="1" applyFont="1" applyFill="1" applyBorder="1" applyAlignment="1">
      <alignment horizontal="left" vertical="center"/>
    </xf>
    <xf numFmtId="0" fontId="8" fillId="9" borderId="52" xfId="0" applyFont="1" applyFill="1" applyBorder="1" applyAlignment="1">
      <alignment horizontal="left" vertical="center"/>
    </xf>
    <xf numFmtId="0" fontId="23" fillId="9" borderId="53" xfId="0" applyFont="1" applyFill="1" applyBorder="1" applyAlignment="1">
      <alignment horizontal="left" vertical="center"/>
    </xf>
    <xf numFmtId="0" fontId="22" fillId="9" borderId="53" xfId="0" applyFont="1" applyFill="1" applyBorder="1" applyAlignment="1">
      <alignment horizontal="left" vertical="center"/>
    </xf>
    <xf numFmtId="177" fontId="23" fillId="9" borderId="53" xfId="0" applyNumberFormat="1" applyFont="1" applyFill="1" applyBorder="1" applyAlignment="1">
      <alignment horizontal="left" vertical="center"/>
    </xf>
    <xf numFmtId="0" fontId="8" fillId="9" borderId="54" xfId="0" applyFont="1" applyFill="1" applyBorder="1" applyAlignment="1">
      <alignment horizontal="left" vertical="center"/>
    </xf>
    <xf numFmtId="0" fontId="8" fillId="9" borderId="6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/>
    <xf numFmtId="0" fontId="1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4" fontId="11" fillId="8" borderId="12" xfId="0" applyNumberFormat="1" applyFont="1" applyFill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1" fillId="8" borderId="12" xfId="0" applyFont="1" applyFill="1" applyBorder="1" applyAlignment="1">
      <alignment horizontal="left" vertical="center"/>
    </xf>
    <xf numFmtId="0" fontId="18" fillId="8" borderId="12" xfId="0" applyFont="1" applyFill="1" applyBorder="1" applyAlignment="1">
      <alignment horizontal="left" vertical="center"/>
    </xf>
    <xf numFmtId="0" fontId="17" fillId="8" borderId="12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/>
    </xf>
    <xf numFmtId="0" fontId="28" fillId="8" borderId="12" xfId="0" applyFont="1" applyFill="1" applyBorder="1" applyAlignment="1">
      <alignment horizontal="left" vertical="center" wrapText="1"/>
    </xf>
    <xf numFmtId="0" fontId="28" fillId="8" borderId="12" xfId="0" applyFont="1" applyFill="1" applyBorder="1" applyAlignment="1">
      <alignment horizontal="left" vertical="center"/>
    </xf>
    <xf numFmtId="0" fontId="11" fillId="9" borderId="12" xfId="0" applyFont="1" applyFill="1" applyBorder="1" applyAlignment="1">
      <alignment horizontal="left" vertical="center"/>
    </xf>
    <xf numFmtId="0" fontId="17" fillId="9" borderId="12" xfId="0" applyFont="1" applyFill="1" applyBorder="1" applyAlignment="1">
      <alignment horizontal="left" vertical="center"/>
    </xf>
    <xf numFmtId="3" fontId="11" fillId="9" borderId="12" xfId="0" applyNumberFormat="1" applyFont="1" applyFill="1" applyBorder="1" applyAlignment="1">
      <alignment horizontal="left" vertical="center"/>
    </xf>
    <xf numFmtId="178" fontId="11" fillId="8" borderId="12" xfId="0" applyNumberFormat="1" applyFont="1" applyFill="1" applyBorder="1" applyAlignment="1">
      <alignment horizontal="left" vertical="center"/>
    </xf>
    <xf numFmtId="0" fontId="18" fillId="9" borderId="12" xfId="0" applyFont="1" applyFill="1" applyBorder="1" applyAlignment="1">
      <alignment horizontal="left" vertical="center"/>
    </xf>
    <xf numFmtId="179" fontId="11" fillId="9" borderId="12" xfId="0" applyNumberFormat="1" applyFont="1" applyFill="1" applyBorder="1" applyAlignment="1">
      <alignment horizontal="left" vertical="center"/>
    </xf>
    <xf numFmtId="1" fontId="11" fillId="9" borderId="12" xfId="0" applyNumberFormat="1" applyFont="1" applyFill="1" applyBorder="1" applyAlignment="1">
      <alignment horizontal="center" vertical="center"/>
    </xf>
    <xf numFmtId="1" fontId="19" fillId="9" borderId="12" xfId="0" applyNumberFormat="1" applyFont="1" applyFill="1" applyBorder="1" applyAlignment="1">
      <alignment horizontal="center" vertical="center"/>
    </xf>
    <xf numFmtId="1" fontId="19" fillId="9" borderId="12" xfId="0" applyNumberFormat="1" applyFont="1" applyFill="1" applyBorder="1" applyAlignment="1">
      <alignment horizontal="left" vertical="center"/>
    </xf>
    <xf numFmtId="3" fontId="19" fillId="9" borderId="12" xfId="0" applyNumberFormat="1" applyFont="1" applyFill="1" applyBorder="1" applyAlignment="1">
      <alignment horizontal="left" vertical="center"/>
    </xf>
    <xf numFmtId="179" fontId="19" fillId="9" borderId="12" xfId="0" applyNumberFormat="1" applyFont="1" applyFill="1" applyBorder="1" applyAlignment="1">
      <alignment horizontal="left" vertical="center"/>
    </xf>
    <xf numFmtId="1" fontId="11" fillId="11" borderId="57" xfId="0" applyNumberFormat="1" applyFont="1" applyFill="1" applyBorder="1" applyAlignment="1">
      <alignment horizontal="left" vertical="center"/>
    </xf>
    <xf numFmtId="3" fontId="11" fillId="11" borderId="57" xfId="0" applyNumberFormat="1" applyFont="1" applyFill="1" applyBorder="1" applyAlignment="1">
      <alignment horizontal="left" vertical="center"/>
    </xf>
    <xf numFmtId="179" fontId="11" fillId="11" borderId="57" xfId="0" applyNumberFormat="1" applyFont="1" applyFill="1" applyBorder="1" applyAlignment="1">
      <alignment horizontal="left" vertical="center"/>
    </xf>
    <xf numFmtId="3" fontId="19" fillId="11" borderId="12" xfId="0" applyNumberFormat="1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/>
    </xf>
    <xf numFmtId="0" fontId="5" fillId="12" borderId="12" xfId="0" applyFont="1" applyFill="1" applyBorder="1" applyAlignment="1">
      <alignment horizontal="left" vertical="center"/>
    </xf>
    <xf numFmtId="3" fontId="11" fillId="11" borderId="12" xfId="0" applyNumberFormat="1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2" fontId="15" fillId="9" borderId="12" xfId="0" applyNumberFormat="1" applyFont="1" applyFill="1" applyBorder="1" applyAlignment="1">
      <alignment horizontal="left" vertical="center"/>
    </xf>
    <xf numFmtId="2" fontId="11" fillId="9" borderId="12" xfId="0" applyNumberFormat="1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2" fontId="15" fillId="9" borderId="35" xfId="0" applyNumberFormat="1" applyFont="1" applyFill="1" applyBorder="1" applyAlignment="1">
      <alignment horizontal="left" vertical="center"/>
    </xf>
    <xf numFmtId="0" fontId="8" fillId="13" borderId="21" xfId="0" applyFont="1" applyFill="1" applyBorder="1"/>
    <xf numFmtId="0" fontId="8" fillId="9" borderId="21" xfId="0" applyFont="1" applyFill="1" applyBorder="1"/>
    <xf numFmtId="0" fontId="8" fillId="0" borderId="21" xfId="0" applyFont="1" applyBorder="1"/>
    <xf numFmtId="2" fontId="1" fillId="0" borderId="21" xfId="0" applyNumberFormat="1" applyFont="1" applyBorder="1"/>
    <xf numFmtId="1" fontId="1" fillId="0" borderId="21" xfId="0" applyNumberFormat="1" applyFont="1" applyBorder="1"/>
    <xf numFmtId="0" fontId="13" fillId="2" borderId="35" xfId="0" applyFont="1" applyFill="1" applyBorder="1" applyAlignment="1">
      <alignment horizontal="center" vertical="center" wrapText="1"/>
    </xf>
    <xf numFmtId="1" fontId="19" fillId="0" borderId="21" xfId="0" applyNumberFormat="1" applyFont="1" applyBorder="1" applyAlignment="1">
      <alignment horizontal="center" vertical="center"/>
    </xf>
    <xf numFmtId="1" fontId="19" fillId="11" borderId="21" xfId="0" applyNumberFormat="1" applyFont="1" applyFill="1" applyBorder="1" applyAlignment="1">
      <alignment horizontal="left" vertical="center"/>
    </xf>
    <xf numFmtId="0" fontId="1" fillId="11" borderId="21" xfId="0" applyFont="1" applyFill="1" applyBorder="1"/>
    <xf numFmtId="49" fontId="29" fillId="11" borderId="21" xfId="0" applyNumberFormat="1" applyFont="1" applyFill="1" applyBorder="1" applyAlignment="1">
      <alignment horizontal="left" vertical="center"/>
    </xf>
    <xf numFmtId="0" fontId="19" fillId="11" borderId="21" xfId="0" applyFont="1" applyFill="1" applyBorder="1" applyAlignment="1">
      <alignment horizontal="left" vertical="center"/>
    </xf>
    <xf numFmtId="0" fontId="29" fillId="11" borderId="21" xfId="0" applyFont="1" applyFill="1" applyBorder="1" applyAlignment="1">
      <alignment horizontal="left" vertical="center"/>
    </xf>
    <xf numFmtId="0" fontId="30" fillId="11" borderId="21" xfId="0" applyFont="1" applyFill="1" applyBorder="1" applyAlignment="1">
      <alignment horizontal="left" vertical="center"/>
    </xf>
    <xf numFmtId="0" fontId="31" fillId="11" borderId="21" xfId="0" applyFont="1" applyFill="1" applyBorder="1" applyAlignment="1">
      <alignment horizontal="left" vertical="center"/>
    </xf>
    <xf numFmtId="0" fontId="32" fillId="11" borderId="21" xfId="0" applyFont="1" applyFill="1" applyBorder="1" applyAlignment="1">
      <alignment horizontal="left" vertical="center"/>
    </xf>
    <xf numFmtId="0" fontId="13" fillId="2" borderId="57" xfId="0" applyFont="1" applyFill="1" applyBorder="1" applyAlignment="1">
      <alignment horizontal="center" vertical="center"/>
    </xf>
    <xf numFmtId="0" fontId="1" fillId="0" borderId="55" xfId="0" applyFont="1" applyBorder="1"/>
    <xf numFmtId="0" fontId="34" fillId="3" borderId="12" xfId="0" applyFont="1" applyFill="1" applyBorder="1" applyAlignment="1">
      <alignment horizontal="center" vertical="center"/>
    </xf>
    <xf numFmtId="0" fontId="34" fillId="15" borderId="12" xfId="0" applyFont="1" applyFill="1" applyBorder="1" applyAlignment="1">
      <alignment horizontal="center" vertical="center"/>
    </xf>
    <xf numFmtId="1" fontId="35" fillId="0" borderId="12" xfId="0" applyNumberFormat="1" applyFont="1" applyBorder="1" applyAlignment="1">
      <alignment horizontal="center" vertical="center"/>
    </xf>
    <xf numFmtId="1" fontId="19" fillId="11" borderId="12" xfId="0" applyNumberFormat="1" applyFont="1" applyFill="1" applyBorder="1" applyAlignment="1">
      <alignment horizontal="left" vertical="center"/>
    </xf>
    <xf numFmtId="0" fontId="19" fillId="11" borderId="12" xfId="0" applyFont="1" applyFill="1" applyBorder="1" applyAlignment="1">
      <alignment horizontal="left" vertical="center"/>
    </xf>
    <xf numFmtId="2" fontId="19" fillId="11" borderId="12" xfId="0" applyNumberFormat="1" applyFont="1" applyFill="1" applyBorder="1" applyAlignment="1">
      <alignment horizontal="left" vertical="center"/>
    </xf>
    <xf numFmtId="2" fontId="19" fillId="10" borderId="12" xfId="0" applyNumberFormat="1" applyFont="1" applyFill="1" applyBorder="1" applyAlignment="1">
      <alignment horizontal="left" vertical="center"/>
    </xf>
    <xf numFmtId="2" fontId="11" fillId="11" borderId="12" xfId="0" applyNumberFormat="1" applyFont="1" applyFill="1" applyBorder="1" applyAlignment="1">
      <alignment horizontal="left" vertical="center"/>
    </xf>
    <xf numFmtId="1" fontId="35" fillId="0" borderId="43" xfId="0" applyNumberFormat="1" applyFont="1" applyBorder="1" applyAlignment="1">
      <alignment horizontal="center" vertical="center"/>
    </xf>
    <xf numFmtId="1" fontId="19" fillId="11" borderId="43" xfId="0" applyNumberFormat="1" applyFont="1" applyFill="1" applyBorder="1" applyAlignment="1">
      <alignment horizontal="left" vertical="center"/>
    </xf>
    <xf numFmtId="0" fontId="19" fillId="11" borderId="43" xfId="0" applyFont="1" applyFill="1" applyBorder="1" applyAlignment="1">
      <alignment horizontal="left" vertical="center"/>
    </xf>
    <xf numFmtId="2" fontId="19" fillId="11" borderId="43" xfId="0" applyNumberFormat="1" applyFont="1" applyFill="1" applyBorder="1" applyAlignment="1">
      <alignment horizontal="left" vertical="center"/>
    </xf>
    <xf numFmtId="2" fontId="11" fillId="11" borderId="43" xfId="0" applyNumberFormat="1" applyFont="1" applyFill="1" applyBorder="1" applyAlignment="1">
      <alignment horizontal="left" vertical="center"/>
    </xf>
    <xf numFmtId="1" fontId="35" fillId="0" borderId="61" xfId="0" applyNumberFormat="1" applyFont="1" applyBorder="1" applyAlignment="1">
      <alignment horizontal="center" vertical="center"/>
    </xf>
    <xf numFmtId="1" fontId="19" fillId="11" borderId="51" xfId="0" applyNumberFormat="1" applyFont="1" applyFill="1" applyBorder="1" applyAlignment="1">
      <alignment horizontal="left" vertical="center"/>
    </xf>
    <xf numFmtId="0" fontId="19" fillId="11" borderId="51" xfId="0" applyFont="1" applyFill="1" applyBorder="1" applyAlignment="1">
      <alignment horizontal="left" vertical="center"/>
    </xf>
    <xf numFmtId="2" fontId="19" fillId="11" borderId="51" xfId="0" applyNumberFormat="1" applyFont="1" applyFill="1" applyBorder="1" applyAlignment="1">
      <alignment horizontal="left" vertical="center"/>
    </xf>
    <xf numFmtId="2" fontId="11" fillId="11" borderId="51" xfId="0" applyNumberFormat="1" applyFont="1" applyFill="1" applyBorder="1" applyAlignment="1">
      <alignment horizontal="left" vertical="center"/>
    </xf>
    <xf numFmtId="1" fontId="35" fillId="0" borderId="62" xfId="0" applyNumberFormat="1" applyFont="1" applyBorder="1" applyAlignment="1">
      <alignment horizontal="center" vertical="center"/>
    </xf>
    <xf numFmtId="1" fontId="19" fillId="11" borderId="62" xfId="0" applyNumberFormat="1" applyFont="1" applyFill="1" applyBorder="1" applyAlignment="1">
      <alignment horizontal="left" vertical="center"/>
    </xf>
    <xf numFmtId="0" fontId="19" fillId="11" borderId="62" xfId="0" applyFont="1" applyFill="1" applyBorder="1" applyAlignment="1">
      <alignment horizontal="left" vertical="center"/>
    </xf>
    <xf numFmtId="2" fontId="19" fillId="11" borderId="62" xfId="0" applyNumberFormat="1" applyFont="1" applyFill="1" applyBorder="1" applyAlignment="1">
      <alignment horizontal="left" vertical="center"/>
    </xf>
    <xf numFmtId="2" fontId="11" fillId="11" borderId="62" xfId="0" applyNumberFormat="1" applyFont="1" applyFill="1" applyBorder="1" applyAlignment="1">
      <alignment horizontal="left" vertical="center"/>
    </xf>
    <xf numFmtId="1" fontId="1" fillId="0" borderId="0" xfId="0" applyNumberFormat="1" applyFont="1" applyBorder="1"/>
    <xf numFmtId="1" fontId="11" fillId="11" borderId="12" xfId="0" applyNumberFormat="1" applyFont="1" applyFill="1" applyBorder="1" applyAlignment="1">
      <alignment horizontal="left" vertical="center"/>
    </xf>
    <xf numFmtId="1" fontId="15" fillId="11" borderId="12" xfId="0" applyNumberFormat="1" applyFont="1" applyFill="1" applyBorder="1" applyAlignment="1">
      <alignment horizontal="left" vertical="center"/>
    </xf>
    <xf numFmtId="2" fontId="11" fillId="8" borderId="12" xfId="0" applyNumberFormat="1" applyFont="1" applyFill="1" applyBorder="1" applyAlignment="1">
      <alignment horizontal="left" vertical="center"/>
    </xf>
    <xf numFmtId="0" fontId="5" fillId="11" borderId="12" xfId="0" applyFont="1" applyFill="1" applyBorder="1" applyAlignment="1">
      <alignment horizontal="left" vertical="center"/>
    </xf>
    <xf numFmtId="0" fontId="38" fillId="11" borderId="21" xfId="0" applyFont="1" applyFill="1" applyBorder="1" applyAlignment="1">
      <alignment horizontal="left" vertical="center"/>
    </xf>
    <xf numFmtId="2" fontId="19" fillId="17" borderId="12" xfId="0" applyNumberFormat="1" applyFont="1" applyFill="1" applyBorder="1" applyAlignment="1">
      <alignment horizontal="left" vertical="center"/>
    </xf>
    <xf numFmtId="2" fontId="19" fillId="17" borderId="43" xfId="0" applyNumberFormat="1" applyFont="1" applyFill="1" applyBorder="1" applyAlignment="1">
      <alignment horizontal="left" vertical="center"/>
    </xf>
    <xf numFmtId="2" fontId="19" fillId="17" borderId="51" xfId="0" applyNumberFormat="1" applyFont="1" applyFill="1" applyBorder="1" applyAlignment="1">
      <alignment horizontal="left" vertical="center"/>
    </xf>
    <xf numFmtId="2" fontId="19" fillId="18" borderId="12" xfId="0" applyNumberFormat="1" applyFont="1" applyFill="1" applyBorder="1" applyAlignment="1">
      <alignment horizontal="left" vertical="center"/>
    </xf>
    <xf numFmtId="2" fontId="19" fillId="18" borderId="62" xfId="0" applyNumberFormat="1" applyFont="1" applyFill="1" applyBorder="1" applyAlignment="1">
      <alignment horizontal="left" vertical="center"/>
    </xf>
    <xf numFmtId="2" fontId="19" fillId="18" borderId="51" xfId="0" applyNumberFormat="1" applyFont="1" applyFill="1" applyBorder="1" applyAlignment="1">
      <alignment horizontal="left" vertical="center"/>
    </xf>
    <xf numFmtId="1" fontId="19" fillId="18" borderId="12" xfId="0" applyNumberFormat="1" applyFont="1" applyFill="1" applyBorder="1" applyAlignment="1">
      <alignment horizontal="left" vertical="center"/>
    </xf>
    <xf numFmtId="1" fontId="19" fillId="18" borderId="43" xfId="0" applyNumberFormat="1" applyFont="1" applyFill="1" applyBorder="1" applyAlignment="1">
      <alignment horizontal="left" vertical="center"/>
    </xf>
    <xf numFmtId="1" fontId="19" fillId="18" borderId="51" xfId="0" applyNumberFormat="1" applyFont="1" applyFill="1" applyBorder="1" applyAlignment="1">
      <alignment horizontal="left" vertical="center"/>
    </xf>
    <xf numFmtId="1" fontId="19" fillId="18" borderId="62" xfId="0" applyNumberFormat="1" applyFont="1" applyFill="1" applyBorder="1" applyAlignment="1">
      <alignment horizontal="left" vertical="center"/>
    </xf>
    <xf numFmtId="2" fontId="19" fillId="18" borderId="43" xfId="0" applyNumberFormat="1" applyFont="1" applyFill="1" applyBorder="1" applyAlignment="1">
      <alignment horizontal="left" vertical="center"/>
    </xf>
    <xf numFmtId="2" fontId="11" fillId="18" borderId="12" xfId="0" applyNumberFormat="1" applyFont="1" applyFill="1" applyBorder="1" applyAlignment="1">
      <alignment horizontal="left" vertical="center"/>
    </xf>
    <xf numFmtId="2" fontId="11" fillId="18" borderId="43" xfId="0" applyNumberFormat="1" applyFont="1" applyFill="1" applyBorder="1" applyAlignment="1">
      <alignment horizontal="left" vertical="center"/>
    </xf>
    <xf numFmtId="2" fontId="11" fillId="18" borderId="51" xfId="0" applyNumberFormat="1" applyFont="1" applyFill="1" applyBorder="1" applyAlignment="1">
      <alignment horizontal="left" vertical="center"/>
    </xf>
    <xf numFmtId="2" fontId="11" fillId="18" borderId="62" xfId="0" applyNumberFormat="1" applyFont="1" applyFill="1" applyBorder="1" applyAlignment="1">
      <alignment horizontal="left" vertical="center"/>
    </xf>
    <xf numFmtId="1" fontId="19" fillId="0" borderId="65" xfId="0" applyNumberFormat="1" applyFont="1" applyBorder="1" applyAlignment="1">
      <alignment horizontal="center" vertical="center"/>
    </xf>
    <xf numFmtId="1" fontId="19" fillId="11" borderId="65" xfId="0" applyNumberFormat="1" applyFont="1" applyFill="1" applyBorder="1" applyAlignment="1">
      <alignment horizontal="left" vertical="center"/>
    </xf>
    <xf numFmtId="0" fontId="1" fillId="11" borderId="65" xfId="0" applyFont="1" applyFill="1" applyBorder="1"/>
    <xf numFmtId="49" fontId="29" fillId="11" borderId="65" xfId="0" applyNumberFormat="1" applyFont="1" applyFill="1" applyBorder="1" applyAlignment="1">
      <alignment horizontal="left" vertical="center"/>
    </xf>
    <xf numFmtId="0" fontId="29" fillId="11" borderId="65" xfId="0" applyFont="1" applyFill="1" applyBorder="1" applyAlignment="1">
      <alignment horizontal="left" vertical="center"/>
    </xf>
    <xf numFmtId="1" fontId="19" fillId="0" borderId="64" xfId="0" applyNumberFormat="1" applyFont="1" applyBorder="1" applyAlignment="1">
      <alignment horizontal="center" vertical="center"/>
    </xf>
    <xf numFmtId="1" fontId="19" fillId="11" borderId="64" xfId="0" applyNumberFormat="1" applyFont="1" applyFill="1" applyBorder="1" applyAlignment="1">
      <alignment horizontal="left" vertical="center"/>
    </xf>
    <xf numFmtId="0" fontId="1" fillId="11" borderId="64" xfId="0" applyFont="1" applyFill="1" applyBorder="1"/>
    <xf numFmtId="49" fontId="29" fillId="11" borderId="64" xfId="0" applyNumberFormat="1" applyFont="1" applyFill="1" applyBorder="1" applyAlignment="1">
      <alignment horizontal="left" vertical="center"/>
    </xf>
    <xf numFmtId="0" fontId="19" fillId="11" borderId="64" xfId="0" applyFont="1" applyFill="1" applyBorder="1" applyAlignment="1">
      <alignment horizontal="left" vertical="center"/>
    </xf>
    <xf numFmtId="0" fontId="32" fillId="11" borderId="65" xfId="0" applyFont="1" applyFill="1" applyBorder="1" applyAlignment="1">
      <alignment horizontal="left" vertical="center"/>
    </xf>
    <xf numFmtId="0" fontId="1" fillId="0" borderId="11" xfId="0" applyFont="1"/>
    <xf numFmtId="0" fontId="0" fillId="0" borderId="11" xfId="0"/>
    <xf numFmtId="0" fontId="9" fillId="0" borderId="11" xfId="0" applyFont="1" applyAlignment="1">
      <alignment horizontal="left" vertical="center" wrapText="1"/>
    </xf>
    <xf numFmtId="0" fontId="0" fillId="0" borderId="0" xfId="0" applyBorder="1"/>
    <xf numFmtId="0" fontId="4" fillId="0" borderId="63" xfId="0" applyFont="1" applyBorder="1" applyAlignment="1">
      <alignment horizontal="left" vertical="center" wrapText="1"/>
    </xf>
    <xf numFmtId="0" fontId="0" fillId="0" borderId="7" xfId="0" applyBorder="1"/>
    <xf numFmtId="0" fontId="42" fillId="7" borderId="21" xfId="0" applyFont="1" applyFill="1" applyBorder="1" applyAlignment="1">
      <alignment vertical="center" wrapText="1"/>
    </xf>
    <xf numFmtId="0" fontId="0" fillId="0" borderId="1" xfId="0" applyBorder="1"/>
    <xf numFmtId="0" fontId="0" fillId="0" borderId="20" xfId="0" applyBorder="1"/>
    <xf numFmtId="0" fontId="2" fillId="2" borderId="26" xfId="0" applyFont="1" applyFill="1" applyBorder="1" applyAlignment="1">
      <alignment horizontal="center" vertical="center"/>
    </xf>
    <xf numFmtId="0" fontId="0" fillId="0" borderId="59" xfId="0" applyBorder="1"/>
    <xf numFmtId="0" fontId="0" fillId="0" borderId="28" xfId="0" applyBorder="1"/>
    <xf numFmtId="0" fontId="8" fillId="6" borderId="58" xfId="0" applyFont="1" applyFill="1" applyBorder="1" applyAlignment="1">
      <alignment vertical="center" wrapText="1"/>
    </xf>
    <xf numFmtId="0" fontId="5" fillId="0" borderId="63" xfId="0" applyFont="1" applyBorder="1" applyAlignment="1">
      <alignment horizontal="left" vertical="center" wrapText="1"/>
    </xf>
    <xf numFmtId="0" fontId="39" fillId="0" borderId="63" xfId="0" applyFont="1" applyBorder="1" applyAlignment="1">
      <alignment horizontal="left" vertical="center" wrapText="1"/>
    </xf>
    <xf numFmtId="0" fontId="40" fillId="0" borderId="0" xfId="0" applyFont="1" applyBorder="1"/>
    <xf numFmtId="0" fontId="40" fillId="0" borderId="7" xfId="0" applyFont="1" applyBorder="1"/>
    <xf numFmtId="0" fontId="3" fillId="3" borderId="21" xfId="0" applyFont="1" applyFill="1" applyBorder="1" applyAlignment="1">
      <alignment horizontal="center" vertical="center"/>
    </xf>
    <xf numFmtId="0" fontId="16" fillId="2" borderId="11" xfId="0" applyFont="1" applyFill="1" applyAlignment="1">
      <alignment horizontal="left" vertical="center"/>
    </xf>
    <xf numFmtId="0" fontId="10" fillId="2" borderId="11" xfId="0" applyFont="1" applyFill="1" applyAlignment="1">
      <alignment horizontal="left" vertical="center"/>
    </xf>
    <xf numFmtId="0" fontId="5" fillId="3" borderId="57" xfId="0" applyFont="1" applyFill="1" applyBorder="1" applyAlignment="1">
      <alignment horizontal="left" vertical="center"/>
    </xf>
    <xf numFmtId="0" fontId="0" fillId="0" borderId="56" xfId="0" applyBorder="1"/>
    <xf numFmtId="0" fontId="27" fillId="2" borderId="11" xfId="0" applyFont="1" applyFill="1" applyAlignment="1">
      <alignment horizontal="left" vertical="center"/>
    </xf>
    <xf numFmtId="0" fontId="1" fillId="0" borderId="56" xfId="0" applyFont="1" applyBorder="1"/>
    <xf numFmtId="0" fontId="13" fillId="2" borderId="57" xfId="0" applyFont="1" applyFill="1" applyBorder="1" applyAlignment="1">
      <alignment horizontal="center" vertical="center"/>
    </xf>
    <xf numFmtId="0" fontId="1" fillId="0" borderId="60" xfId="0" applyFont="1" applyBorder="1"/>
    <xf numFmtId="0" fontId="0" fillId="0" borderId="60" xfId="0" applyBorder="1"/>
    <xf numFmtId="0" fontId="33" fillId="14" borderId="11" xfId="0" applyFont="1" applyFill="1" applyAlignment="1">
      <alignment horizontal="left" vertical="center"/>
    </xf>
    <xf numFmtId="0" fontId="36" fillId="16" borderId="11" xfId="0" applyFont="1" applyFill="1" applyAlignment="1">
      <alignment horizontal="left" vertical="center"/>
    </xf>
    <xf numFmtId="0" fontId="43" fillId="19" borderId="21" xfId="0" applyFont="1" applyFill="1" applyBorder="1" applyAlignment="1">
      <alignment horizontal="left" vertical="top" wrapText="1"/>
    </xf>
    <xf numFmtId="0" fontId="43" fillId="19" borderId="59" xfId="0" applyFont="1" applyFill="1" applyBorder="1" applyAlignment="1">
      <alignment horizontal="left" vertical="top" wrapText="1"/>
    </xf>
    <xf numFmtId="0" fontId="43" fillId="19" borderId="28" xfId="0" applyFont="1" applyFill="1" applyBorder="1" applyAlignment="1">
      <alignment horizontal="left" vertical="top" wrapText="1"/>
    </xf>
    <xf numFmtId="0" fontId="43" fillId="19" borderId="5" xfId="0" applyFont="1" applyFill="1" applyBorder="1" applyAlignment="1">
      <alignment horizontal="left" vertical="top" wrapText="1"/>
    </xf>
    <xf numFmtId="0" fontId="43" fillId="19" borderId="11" xfId="0" applyFont="1" applyFill="1" applyAlignment="1">
      <alignment horizontal="left" vertical="top" wrapText="1"/>
    </xf>
    <xf numFmtId="0" fontId="43" fillId="19" borderId="7" xfId="0" applyFont="1" applyFill="1" applyBorder="1" applyAlignment="1">
      <alignment horizontal="left" vertical="top" wrapText="1"/>
    </xf>
    <xf numFmtId="0" fontId="43" fillId="19" borderId="8" xfId="0" applyFont="1" applyFill="1" applyBorder="1" applyAlignment="1">
      <alignment horizontal="left" vertical="top" wrapText="1"/>
    </xf>
    <xf numFmtId="0" fontId="43" fillId="19" borderId="9" xfId="0" applyFont="1" applyFill="1" applyBorder="1" applyAlignment="1">
      <alignment horizontal="left" vertical="top" wrapText="1"/>
    </xf>
    <xf numFmtId="0" fontId="43" fillId="19" borderId="10" xfId="0" applyFont="1" applyFill="1" applyBorder="1" applyAlignment="1">
      <alignment horizontal="left" vertical="top" wrapText="1"/>
    </xf>
  </cellXfs>
  <cellStyles count="1">
    <cellStyle name="標準" xfId="0" builtinId="0"/>
  </cellStyles>
  <dxfs count="5">
    <dxf>
      <fill>
        <patternFill patternType="solid">
          <fgColor rgb="FFC6EFCE"/>
          <bgColor rgb="FFC6EFCE"/>
        </patternFill>
      </fill>
    </dxf>
    <dxf>
      <font>
        <sz val="11"/>
        <color rgb="FF000000"/>
        <name val="Calibri"/>
      </font>
      <alignment vertical="bottom"/>
    </dxf>
    <dxf>
      <font>
        <color rgb="FF9C0006"/>
      </font>
      <fill>
        <patternFill patternType="solid">
          <fgColor rgb="FFFCE4D6"/>
        </patternFill>
      </fill>
    </dxf>
    <dxf>
      <font>
        <b/>
        <color rgb="FF9C0006"/>
        <name val="Yu Gothic"/>
      </font>
      <fill>
        <patternFill patternType="solid">
          <fgColor rgb="FFF4CCCC"/>
          <bgColor rgb="FFF4CCCC"/>
        </patternFill>
      </fill>
    </dxf>
    <dxf>
      <font>
        <color rgb="FF9C0006"/>
        <name val="Yu Gothi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 lvl="0">
              <a:defRPr sz="1300" b="0" i="0">
                <a:solidFill>
                  <a:srgbClr val="757575"/>
                </a:solidFill>
                <a:latin typeface="Arial"/>
              </a:defRPr>
            </a:pPr>
            <a:r>
              <a:rPr lang="ja-JP" altLang="en-US" sz="1300" b="0" i="0">
                <a:solidFill>
                  <a:srgbClr val="757575"/>
                </a:solidFill>
                <a:latin typeface="Arial"/>
              </a:rPr>
              <a:t>貯蓄残高推移（</a:t>
            </a:r>
            <a:r>
              <a:rPr lang="en-US" altLang="ja-JP" sz="1300" b="0" i="0">
                <a:solidFill>
                  <a:srgbClr val="757575"/>
                </a:solidFill>
                <a:latin typeface="Arial"/>
              </a:rPr>
              <a:t>100</a:t>
            </a:r>
            <a:r>
              <a:rPr lang="ja-JP" altLang="en-US" sz="1300" b="0" i="0">
                <a:solidFill>
                  <a:srgbClr val="757575"/>
                </a:solidFill>
                <a:latin typeface="Arial"/>
              </a:rPr>
              <a:t>歳まで）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613684280523056"/>
          <c:y val="0.15687215568642154"/>
          <c:w val="0.72264110056287678"/>
          <c:h val="0.74639581816978762"/>
        </c:manualLayout>
      </c:layout>
      <c:lineChart>
        <c:grouping val="standard"/>
        <c:varyColors val="0"/>
        <c:ser>
          <c:idx val="0"/>
          <c:order val="0"/>
          <c:tx>
            <c:v>貯蓄残高</c:v>
          </c:tx>
          <c:spPr>
            <a:ln cmpd="sng">
              <a:solidFill>
                <a:srgbClr val="98B855"/>
              </a:solidFill>
              <a:prstDash val="solid"/>
            </a:ln>
          </c:spPr>
          <c:marker>
            <c:symbol val="none"/>
          </c:marker>
          <c:cat>
            <c:numRef>
              <c:f>キャッシュフロー表!$C$5:$C$68</c:f>
              <c:numCache>
                <c:formatCode>0</c:formatCode>
                <c:ptCount val="6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  <c:pt idx="51">
                  <c:v>2073</c:v>
                </c:pt>
                <c:pt idx="52">
                  <c:v>2074</c:v>
                </c:pt>
                <c:pt idx="53">
                  <c:v>2075</c:v>
                </c:pt>
                <c:pt idx="54">
                  <c:v>2076</c:v>
                </c:pt>
                <c:pt idx="55">
                  <c:v>2077</c:v>
                </c:pt>
                <c:pt idx="56">
                  <c:v>2078</c:v>
                </c:pt>
                <c:pt idx="57">
                  <c:v>2079</c:v>
                </c:pt>
                <c:pt idx="58">
                  <c:v>2080</c:v>
                </c:pt>
                <c:pt idx="59">
                  <c:v>2081</c:v>
                </c:pt>
                <c:pt idx="60">
                  <c:v>2082</c:v>
                </c:pt>
                <c:pt idx="61">
                  <c:v>2083</c:v>
                </c:pt>
                <c:pt idx="62">
                  <c:v>2084</c:v>
                </c:pt>
                <c:pt idx="63">
                  <c:v>2085</c:v>
                </c:pt>
              </c:numCache>
            </c:numRef>
          </c:cat>
          <c:val>
            <c:numRef>
              <c:f>キャッシュフロー表!$Z$5:$Z$68</c:f>
              <c:numCache>
                <c:formatCode>0.00</c:formatCode>
                <c:ptCount val="64"/>
                <c:pt idx="0">
                  <c:v>1031.9148</c:v>
                </c:pt>
                <c:pt idx="1">
                  <c:v>1068.4991739999998</c:v>
                </c:pt>
                <c:pt idx="2">
                  <c:v>907.28296986999987</c:v>
                </c:pt>
                <c:pt idx="3">
                  <c:v>949.40589371934982</c:v>
                </c:pt>
                <c:pt idx="4">
                  <c:v>923.81075199794657</c:v>
                </c:pt>
                <c:pt idx="5">
                  <c:v>966.13382123683607</c:v>
                </c:pt>
                <c:pt idx="6">
                  <c:v>984.50766400768521</c:v>
                </c:pt>
                <c:pt idx="7">
                  <c:v>998.10342055815636</c:v>
                </c:pt>
                <c:pt idx="8">
                  <c:v>985.29240916531103</c:v>
                </c:pt>
                <c:pt idx="9">
                  <c:v>676.41681538104297</c:v>
                </c:pt>
                <c:pt idx="10">
                  <c:v>606.67537686248352</c:v>
                </c:pt>
                <c:pt idx="11">
                  <c:v>514.7089248940772</c:v>
                </c:pt>
                <c:pt idx="12">
                  <c:v>362.72982321063535</c:v>
                </c:pt>
                <c:pt idx="13">
                  <c:v>195.54847674107322</c:v>
                </c:pt>
                <c:pt idx="14">
                  <c:v>0.54603017149872812</c:v>
                </c:pt>
                <c:pt idx="15">
                  <c:v>-291.06058502659289</c:v>
                </c:pt>
                <c:pt idx="16">
                  <c:v>-645.76336754980412</c:v>
                </c:pt>
                <c:pt idx="17">
                  <c:v>-958.38863212110562</c:v>
                </c:pt>
                <c:pt idx="18">
                  <c:v>-1266.6535839230512</c:v>
                </c:pt>
                <c:pt idx="19">
                  <c:v>-1457.0914158443675</c:v>
                </c:pt>
                <c:pt idx="20">
                  <c:v>-1606.139457099951</c:v>
                </c:pt>
                <c:pt idx="21">
                  <c:v>-1666.4678797021911</c:v>
                </c:pt>
                <c:pt idx="22">
                  <c:v>-1742.622210165938</c:v>
                </c:pt>
                <c:pt idx="23">
                  <c:v>-1990.443105231856</c:v>
                </c:pt>
                <c:pt idx="24">
                  <c:v>-2284.4423740558227</c:v>
                </c:pt>
                <c:pt idx="25">
                  <c:v>-2262.0286199281063</c:v>
                </c:pt>
                <c:pt idx="26">
                  <c:v>-2419.0395437640991</c:v>
                </c:pt>
                <c:pt idx="27">
                  <c:v>-2434.9375896994115</c:v>
                </c:pt>
                <c:pt idx="28">
                  <c:v>-2631.9061039034618</c:v>
                </c:pt>
                <c:pt idx="29">
                  <c:v>-2589.4719705046555</c:v>
                </c:pt>
                <c:pt idx="30">
                  <c:v>-992.42615442921328</c:v>
                </c:pt>
                <c:pt idx="31">
                  <c:v>-838.52213278863667</c:v>
                </c:pt>
                <c:pt idx="32">
                  <c:v>-481.14801011924641</c:v>
                </c:pt>
                <c:pt idx="33">
                  <c:v>-120.68018383650923</c:v>
                </c:pt>
                <c:pt idx="34">
                  <c:v>242.89028041264157</c:v>
                </c:pt>
                <c:pt idx="35">
                  <c:v>291.63906099052974</c:v>
                </c:pt>
                <c:pt idx="36">
                  <c:v>341.91891382542821</c:v>
                </c:pt>
                <c:pt idx="37">
                  <c:v>193.73105763685146</c:v>
                </c:pt>
                <c:pt idx="38">
                  <c:v>246.07674942112035</c:v>
                </c:pt>
                <c:pt idx="39">
                  <c:v>299.95228448183013</c:v>
                </c:pt>
                <c:pt idx="40">
                  <c:v>355.35897146127542</c:v>
                </c:pt>
                <c:pt idx="41">
                  <c:v>412.29815724783282</c:v>
                </c:pt>
                <c:pt idx="42">
                  <c:v>470.7712270086767</c:v>
                </c:pt>
                <c:pt idx="43">
                  <c:v>530.77960422345177</c:v>
                </c:pt>
                <c:pt idx="44">
                  <c:v>392.32475071890207</c:v>
                </c:pt>
                <c:pt idx="45">
                  <c:v>454.40816670445793</c:v>
                </c:pt>
                <c:pt idx="46">
                  <c:v>518.0263908087818</c:v>
                </c:pt>
                <c:pt idx="47">
                  <c:v>583.18097511727319</c:v>
                </c:pt>
                <c:pt idx="48">
                  <c:v>649.8735100855348</c:v>
                </c:pt>
                <c:pt idx="49">
                  <c:v>718.10562457817434</c:v>
                </c:pt>
                <c:pt idx="50">
                  <c:v>787.87898590856605</c:v>
                </c:pt>
                <c:pt idx="51">
                  <c:v>659.1952998795723</c:v>
                </c:pt>
                <c:pt idx="52">
                  <c:v>731.05631082522609</c:v>
                </c:pt>
                <c:pt idx="53">
                  <c:v>804.45880165337701</c:v>
                </c:pt>
                <c:pt idx="54">
                  <c:v>879.4045688892985</c:v>
                </c:pt>
                <c:pt idx="55">
                  <c:v>955.89544759526132</c:v>
                </c:pt>
                <c:pt idx="56">
                  <c:v>1033.9333114154463</c:v>
                </c:pt>
                <c:pt idx="57">
                  <c:v>1113.5200726218211</c:v>
                </c:pt>
                <c:pt idx="58">
                  <c:v>994.65768216098138</c:v>
                </c:pt>
                <c:pt idx="59">
                  <c:v>1083.3481297019571</c:v>
                </c:pt>
                <c:pt idx="60">
                  <c:v>1173.6234436849868</c:v>
                </c:pt>
                <c:pt idx="61">
                  <c:v>1265.4858413712593</c:v>
                </c:pt>
                <c:pt idx="62">
                  <c:v>1358.9375796436238</c:v>
                </c:pt>
                <c:pt idx="63">
                  <c:v>1453.9809550620225</c:v>
                </c:pt>
              </c:numCache>
            </c:numRef>
          </c:val>
          <c:smooth val="1"/>
          <c:extLst xmlns:ns2="http://schemas.microsoft.com/office/drawing/2014/chart">
            <c:ext xmlns:c16="http://schemas.microsoft.com/office/drawing/2014/chart" uri="{C3380CC4-5D6E-409C-BE32-E72D297353CC}">
              <c16:uniqueId val="{00000000-9DD9-42E5-8E71-68C62C012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3265900"/>
        <c:axId val="2001868468"/>
      </c:lineChart>
      <c:catAx>
        <c:axId val="16432659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300" b="0" i="0">
                    <a:solidFill>
                      <a:srgbClr val="000000"/>
                    </a:solidFill>
                    <a:latin typeface="Arial"/>
                  </a:defRPr>
                </a:pPr>
                <a:r>
                  <a:rPr lang="ja-JP" altLang="en-US" sz="1300" b="0" i="0">
                    <a:solidFill>
                      <a:srgbClr val="000000"/>
                    </a:solidFill>
                    <a:latin typeface="Arial"/>
                  </a:rPr>
                  <a:t>西暦</a:t>
                </a:r>
              </a:p>
            </c:rich>
          </c:tx>
          <c:layout>
            <c:manualLayout>
              <c:xMode val="edge"/>
              <c:yMode val="edge"/>
              <c:x val="0.888746156371086"/>
              <c:y val="0.91820728291316522"/>
            </c:manualLayout>
          </c:layout>
          <c:overlay val="0"/>
        </c:title>
        <c:numFmt formatCode="0" sourceLinked="0"/>
        <c:majorTickMark val="none"/>
        <c:minorTickMark val="none"/>
        <c:tickLblPos val="low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2001868468"/>
        <c:crosses val="autoZero"/>
        <c:auto val="1"/>
        <c:lblAlgn val="ctr"/>
        <c:lblOffset val="100"/>
        <c:noMultiLvlLbl val="1"/>
      </c:catAx>
      <c:valAx>
        <c:axId val="20018684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 lvl="0">
                  <a:defRPr sz="1300" b="0" i="0">
                    <a:solidFill>
                      <a:srgbClr val="000000"/>
                    </a:solidFill>
                    <a:latin typeface="Arial"/>
                  </a:defRPr>
                </a:pPr>
                <a:r>
                  <a:rPr lang="ja-JP" altLang="en-US" sz="1300" b="0" i="0">
                    <a:solidFill>
                      <a:srgbClr val="000000"/>
                    </a:solidFill>
                    <a:latin typeface="Arial"/>
                  </a:rPr>
                  <a:t>万円</a:t>
                </a:r>
              </a:p>
            </c:rich>
          </c:tx>
          <c:layout>
            <c:manualLayout>
              <c:xMode val="edge"/>
              <c:yMode val="edge"/>
              <c:x val="5.4807352991490588E-2"/>
              <c:y val="0.4328671348513868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>
            <a:prstDash val="solid"/>
          </a:ln>
        </c:spPr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164326590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sz="1000" b="0" i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zero"/>
    <c:showDLblsOverMax val="1"/>
  </c:chart>
  <c:spPr>
    <a:solidFill>
      <a:srgbClr val="FFFFFF"/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 lvl="0">
              <a:defRPr sz="1300" b="0" i="0">
                <a:solidFill>
                  <a:srgbClr val="757575"/>
                </a:solidFill>
                <a:latin typeface="Arial"/>
              </a:defRPr>
            </a:pPr>
            <a:r>
              <a:rPr lang="ja-JP" altLang="en-US" sz="1300" b="0" i="0">
                <a:solidFill>
                  <a:srgbClr val="757575"/>
                </a:solidFill>
                <a:latin typeface="Arial"/>
              </a:rPr>
              <a:t>年間収入 </a:t>
            </a:r>
            <a:r>
              <a:rPr lang="en-US" sz="1300" b="0" i="0">
                <a:solidFill>
                  <a:srgbClr val="757575"/>
                </a:solidFill>
                <a:latin typeface="Arial"/>
              </a:rPr>
              <a:t>vs </a:t>
            </a:r>
            <a:r>
              <a:rPr lang="ja-JP" altLang="en-US" sz="1300" b="0" i="0">
                <a:solidFill>
                  <a:srgbClr val="757575"/>
                </a:solidFill>
                <a:latin typeface="Arial"/>
              </a:rPr>
              <a:t>年間支出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収入合計</c:v>
          </c:tx>
          <c:spPr>
            <a:solidFill>
              <a:srgbClr val="4672A8"/>
            </a:solidFill>
            <a:ln cmpd="sng">
              <a:solidFill>
                <a:srgbClr val="000000"/>
              </a:solidFill>
              <a:prstDash val="solid"/>
            </a:ln>
          </c:spPr>
          <c:invertIfNegative val="1"/>
          <c:cat>
            <c:numRef>
              <c:f>キャッシュフロー表!$C$5:$C$68</c:f>
              <c:numCache>
                <c:formatCode>0</c:formatCode>
                <c:ptCount val="6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  <c:pt idx="51">
                  <c:v>2073</c:v>
                </c:pt>
                <c:pt idx="52">
                  <c:v>2074</c:v>
                </c:pt>
                <c:pt idx="53">
                  <c:v>2075</c:v>
                </c:pt>
                <c:pt idx="54">
                  <c:v>2076</c:v>
                </c:pt>
                <c:pt idx="55">
                  <c:v>2077</c:v>
                </c:pt>
                <c:pt idx="56">
                  <c:v>2078</c:v>
                </c:pt>
                <c:pt idx="57">
                  <c:v>2079</c:v>
                </c:pt>
                <c:pt idx="58">
                  <c:v>2080</c:v>
                </c:pt>
                <c:pt idx="59">
                  <c:v>2081</c:v>
                </c:pt>
                <c:pt idx="60">
                  <c:v>2082</c:v>
                </c:pt>
                <c:pt idx="61">
                  <c:v>2083</c:v>
                </c:pt>
                <c:pt idx="62">
                  <c:v>2084</c:v>
                </c:pt>
                <c:pt idx="63">
                  <c:v>2085</c:v>
                </c:pt>
              </c:numCache>
            </c:numRef>
          </c:cat>
          <c:val>
            <c:numRef>
              <c:f>キャッシュフロー表!$P$5:$P$68</c:f>
              <c:numCache>
                <c:formatCode>0.00</c:formatCode>
                <c:ptCount val="64"/>
                <c:pt idx="0">
                  <c:v>1161</c:v>
                </c:pt>
                <c:pt idx="1">
                  <c:v>667.37</c:v>
                </c:pt>
                <c:pt idx="2">
                  <c:v>673.80370000000005</c:v>
                </c:pt>
                <c:pt idx="3">
                  <c:v>680.301737</c:v>
                </c:pt>
                <c:pt idx="4">
                  <c:v>686.86475437000001</c:v>
                </c:pt>
                <c:pt idx="5">
                  <c:v>693.49340191369993</c:v>
                </c:pt>
                <c:pt idx="6">
                  <c:v>712.18833593283705</c:v>
                </c:pt>
                <c:pt idx="7">
                  <c:v>718.95021929216523</c:v>
                </c:pt>
                <c:pt idx="8">
                  <c:v>737.77972148508707</c:v>
                </c:pt>
                <c:pt idx="9">
                  <c:v>744.67751869993799</c:v>
                </c:pt>
                <c:pt idx="10">
                  <c:v>763.64429388693748</c:v>
                </c:pt>
                <c:pt idx="11">
                  <c:v>770.68073682580666</c:v>
                </c:pt>
                <c:pt idx="12">
                  <c:v>777.78754419406482</c:v>
                </c:pt>
                <c:pt idx="13">
                  <c:v>772.96541963600544</c:v>
                </c:pt>
                <c:pt idx="14">
                  <c:v>880.21507383236553</c:v>
                </c:pt>
                <c:pt idx="15">
                  <c:v>775.53722457068898</c:v>
                </c:pt>
                <c:pt idx="16">
                  <c:v>882.9325968163962</c:v>
                </c:pt>
                <c:pt idx="17">
                  <c:v>790.40192278456016</c:v>
                </c:pt>
                <c:pt idx="18">
                  <c:v>797.94594201240579</c:v>
                </c:pt>
                <c:pt idx="19">
                  <c:v>805.5654014325296</c:v>
                </c:pt>
                <c:pt idx="20">
                  <c:v>813.26105544685504</c:v>
                </c:pt>
                <c:pt idx="21">
                  <c:v>821.03366600132347</c:v>
                </c:pt>
                <c:pt idx="22">
                  <c:v>816.88400266133692</c:v>
                </c:pt>
                <c:pt idx="23">
                  <c:v>924.81284268795014</c:v>
                </c:pt>
                <c:pt idx="24">
                  <c:v>820.82097111482983</c:v>
                </c:pt>
                <c:pt idx="25">
                  <c:v>928.90918082597818</c:v>
                </c:pt>
                <c:pt idx="26">
                  <c:v>825.07827263423792</c:v>
                </c:pt>
                <c:pt idx="27">
                  <c:v>933.32905536058001</c:v>
                </c:pt>
                <c:pt idx="28">
                  <c:v>841.66234591418606</c:v>
                </c:pt>
                <c:pt idx="29">
                  <c:v>850.07896937332794</c:v>
                </c:pt>
                <c:pt idx="30">
                  <c:v>2278.4315885952306</c:v>
                </c:pt>
                <c:pt idx="31">
                  <c:v>629.93333333333339</c:v>
                </c:pt>
                <c:pt idx="32">
                  <c:v>629.93333333333339</c:v>
                </c:pt>
                <c:pt idx="33">
                  <c:v>629.93333333333339</c:v>
                </c:pt>
                <c:pt idx="34">
                  <c:v>629.93333333333339</c:v>
                </c:pt>
                <c:pt idx="35">
                  <c:v>312</c:v>
                </c:pt>
                <c:pt idx="36">
                  <c:v>312</c:v>
                </c:pt>
                <c:pt idx="37">
                  <c:v>312</c:v>
                </c:pt>
                <c:pt idx="38">
                  <c:v>312</c:v>
                </c:pt>
                <c:pt idx="39">
                  <c:v>312</c:v>
                </c:pt>
                <c:pt idx="40">
                  <c:v>312</c:v>
                </c:pt>
                <c:pt idx="41">
                  <c:v>312</c:v>
                </c:pt>
                <c:pt idx="42">
                  <c:v>312</c:v>
                </c:pt>
                <c:pt idx="43">
                  <c:v>312</c:v>
                </c:pt>
                <c:pt idx="44">
                  <c:v>312</c:v>
                </c:pt>
                <c:pt idx="45">
                  <c:v>312</c:v>
                </c:pt>
                <c:pt idx="46">
                  <c:v>312</c:v>
                </c:pt>
                <c:pt idx="47">
                  <c:v>312</c:v>
                </c:pt>
                <c:pt idx="48">
                  <c:v>312</c:v>
                </c:pt>
                <c:pt idx="49">
                  <c:v>312</c:v>
                </c:pt>
                <c:pt idx="50">
                  <c:v>312</c:v>
                </c:pt>
                <c:pt idx="51">
                  <c:v>312</c:v>
                </c:pt>
                <c:pt idx="52">
                  <c:v>312</c:v>
                </c:pt>
                <c:pt idx="53">
                  <c:v>312</c:v>
                </c:pt>
                <c:pt idx="54">
                  <c:v>312</c:v>
                </c:pt>
                <c:pt idx="55">
                  <c:v>312</c:v>
                </c:pt>
                <c:pt idx="56">
                  <c:v>312</c:v>
                </c:pt>
                <c:pt idx="57">
                  <c:v>312</c:v>
                </c:pt>
                <c:pt idx="58">
                  <c:v>312</c:v>
                </c:pt>
                <c:pt idx="59">
                  <c:v>312</c:v>
                </c:pt>
                <c:pt idx="60">
                  <c:v>312</c:v>
                </c:pt>
                <c:pt idx="61">
                  <c:v>312</c:v>
                </c:pt>
                <c:pt idx="62">
                  <c:v>312</c:v>
                </c:pt>
                <c:pt idx="63">
                  <c:v>312</c:v>
                </c:pt>
              </c:numCache>
            </c:numRef>
          </c:val>
          <c:extLst xmlns:ns3="http://schemas.microsoft.com/office/drawing/2014/chart" xmlns:ns2="http://schemas.microsoft.com/office/drawing/2007/8/2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85F-4AD2-9446-08D677D48E82}"/>
            </c:ext>
          </c:extLst>
        </c:ser>
        <c:ser>
          <c:idx val="1"/>
          <c:order val="1"/>
          <c:tx>
            <c:v>支出合計</c:v>
          </c:tx>
          <c:spPr>
            <a:solidFill>
              <a:srgbClr val="93A9CE"/>
            </a:solidFill>
            <a:ln cmpd="sng">
              <a:solidFill>
                <a:srgbClr val="000000"/>
              </a:solidFill>
              <a:prstDash val="solid"/>
            </a:ln>
          </c:spPr>
          <c:invertIfNegative val="1"/>
          <c:cat>
            <c:numRef>
              <c:f>キャッシュフロー表!$C$5:$C$68</c:f>
              <c:numCache>
                <c:formatCode>0</c:formatCode>
                <c:ptCount val="6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  <c:pt idx="51">
                  <c:v>2073</c:v>
                </c:pt>
                <c:pt idx="52">
                  <c:v>2074</c:v>
                </c:pt>
                <c:pt idx="53">
                  <c:v>2075</c:v>
                </c:pt>
                <c:pt idx="54">
                  <c:v>2076</c:v>
                </c:pt>
                <c:pt idx="55">
                  <c:v>2077</c:v>
                </c:pt>
                <c:pt idx="56">
                  <c:v>2078</c:v>
                </c:pt>
                <c:pt idx="57">
                  <c:v>2079</c:v>
                </c:pt>
                <c:pt idx="58">
                  <c:v>2080</c:v>
                </c:pt>
                <c:pt idx="59">
                  <c:v>2081</c:v>
                </c:pt>
                <c:pt idx="60">
                  <c:v>2082</c:v>
                </c:pt>
                <c:pt idx="61">
                  <c:v>2083</c:v>
                </c:pt>
                <c:pt idx="62">
                  <c:v>2084</c:v>
                </c:pt>
                <c:pt idx="63">
                  <c:v>2085</c:v>
                </c:pt>
              </c:numCache>
            </c:numRef>
          </c:cat>
          <c:val>
            <c:numRef>
              <c:f>キャッシュフロー表!$X$5:$X$68</c:f>
              <c:numCache>
                <c:formatCode>0.00</c:formatCode>
                <c:ptCount val="64"/>
                <c:pt idx="0">
                  <c:v>631.58519999999999</c:v>
                </c:pt>
                <c:pt idx="1">
                  <c:v>635.9452</c:v>
                </c:pt>
                <c:pt idx="2">
                  <c:v>840.36239999999998</c:v>
                </c:pt>
                <c:pt idx="3">
                  <c:v>642.71522799999991</c:v>
                </c:pt>
                <c:pt idx="4">
                  <c:v>717.20692555999995</c:v>
                </c:pt>
                <c:pt idx="5">
                  <c:v>655.78938643480001</c:v>
                </c:pt>
                <c:pt idx="6">
                  <c:v>698.64516226817204</c:v>
                </c:pt>
                <c:pt idx="7">
                  <c:v>710.27700106173245</c:v>
                </c:pt>
                <c:pt idx="8">
                  <c:v>755.5812499807231</c:v>
                </c:pt>
                <c:pt idx="9">
                  <c:v>1058.4795745300326</c:v>
                </c:pt>
                <c:pt idx="10">
                  <c:v>836.76781648240205</c:v>
                </c:pt>
                <c:pt idx="11">
                  <c:v>865.68056567852534</c:v>
                </c:pt>
                <c:pt idx="12">
                  <c:v>932.34019050197696</c:v>
                </c:pt>
                <c:pt idx="13">
                  <c:v>941.96041522162068</c:v>
                </c:pt>
                <c:pt idx="14">
                  <c:v>1076.1952627856454</c:v>
                </c:pt>
                <c:pt idx="15">
                  <c:v>1067.1465699196381</c:v>
                </c:pt>
                <c:pt idx="16">
                  <c:v>1236.1800764144746</c:v>
                </c:pt>
                <c:pt idx="17">
                  <c:v>1099.7983705181127</c:v>
                </c:pt>
                <c:pt idx="18">
                  <c:v>1101.4189506537459</c:v>
                </c:pt>
                <c:pt idx="19">
                  <c:v>989.66996543423068</c:v>
                </c:pt>
                <c:pt idx="20">
                  <c:v>955.02363962321681</c:v>
                </c:pt>
                <c:pt idx="21">
                  <c:v>873.33139131806399</c:v>
                </c:pt>
                <c:pt idx="22">
                  <c:v>884.70599372657296</c:v>
                </c:pt>
                <c:pt idx="23">
                  <c:v>1163.9206267030386</c:v>
                </c:pt>
                <c:pt idx="24">
                  <c:v>1104.8680244126376</c:v>
                </c:pt>
                <c:pt idx="25">
                  <c:v>895.07321482798329</c:v>
                </c:pt>
                <c:pt idx="26">
                  <c:v>970.77905337059019</c:v>
                </c:pt>
                <c:pt idx="27">
                  <c:v>937.13190357707208</c:v>
                </c:pt>
                <c:pt idx="28">
                  <c:v>1026.4561721697396</c:v>
                </c:pt>
                <c:pt idx="29">
                  <c:v>794.48530545500444</c:v>
                </c:pt>
                <c:pt idx="30">
                  <c:v>668.43841266726554</c:v>
                </c:pt>
                <c:pt idx="31">
                  <c:v>471.06718092061078</c:v>
                </c:pt>
                <c:pt idx="32">
                  <c:v>268.36660000000001</c:v>
                </c:pt>
                <c:pt idx="33">
                  <c:v>267.05976700000002</c:v>
                </c:pt>
                <c:pt idx="34">
                  <c:v>265.75946816500004</c:v>
                </c:pt>
                <c:pt idx="35">
                  <c:v>264.46567082417505</c:v>
                </c:pt>
                <c:pt idx="36">
                  <c:v>263.17834247005413</c:v>
                </c:pt>
                <c:pt idx="37">
                  <c:v>461.89745075770384</c:v>
                </c:pt>
                <c:pt idx="38">
                  <c:v>260.62296350391534</c:v>
                </c:pt>
                <c:pt idx="39">
                  <c:v>259.35484868639577</c:v>
                </c:pt>
                <c:pt idx="40">
                  <c:v>258.09307444296383</c:v>
                </c:pt>
                <c:pt idx="41">
                  <c:v>256.83760907074895</c:v>
                </c:pt>
                <c:pt idx="42">
                  <c:v>255.58842102539523</c:v>
                </c:pt>
                <c:pt idx="43">
                  <c:v>254.34547892026828</c:v>
                </c:pt>
                <c:pt idx="44">
                  <c:v>453.10875152566695</c:v>
                </c:pt>
                <c:pt idx="45">
                  <c:v>251.87820776803861</c:v>
                </c:pt>
                <c:pt idx="46">
                  <c:v>250.65381672919841</c:v>
                </c:pt>
                <c:pt idx="47">
                  <c:v>249.43554764555242</c:v>
                </c:pt>
                <c:pt idx="48">
                  <c:v>248.22336990732467</c:v>
                </c:pt>
                <c:pt idx="49">
                  <c:v>247.01725305778803</c:v>
                </c:pt>
                <c:pt idx="50">
                  <c:v>245.81716679249908</c:v>
                </c:pt>
                <c:pt idx="51">
                  <c:v>444.6230809585366</c:v>
                </c:pt>
                <c:pt idx="52">
                  <c:v>243.43496555374392</c:v>
                </c:pt>
                <c:pt idx="53">
                  <c:v>242.25279072597519</c:v>
                </c:pt>
                <c:pt idx="54">
                  <c:v>241.07652677234532</c:v>
                </c:pt>
                <c:pt idx="55">
                  <c:v>239.9061441384836</c:v>
                </c:pt>
                <c:pt idx="56">
                  <c:v>238.7416134177912</c:v>
                </c:pt>
                <c:pt idx="57">
                  <c:v>237.58290535070222</c:v>
                </c:pt>
                <c:pt idx="58">
                  <c:v>436.42999082394874</c:v>
                </c:pt>
                <c:pt idx="59">
                  <c:v>228.28284086982902</c:v>
                </c:pt>
                <c:pt idx="60">
                  <c:v>227.14142666547986</c:v>
                </c:pt>
                <c:pt idx="61">
                  <c:v>226.00571953215245</c:v>
                </c:pt>
                <c:pt idx="62">
                  <c:v>224.87569093449167</c:v>
                </c:pt>
                <c:pt idx="63">
                  <c:v>223.75131247981923</c:v>
                </c:pt>
              </c:numCache>
            </c:numRef>
          </c:val>
          <c:extLst xmlns:ns3="http://schemas.microsoft.com/office/drawing/2014/chart" xmlns:ns2="http://schemas.microsoft.com/office/drawing/2007/8/2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85F-4AD2-9446-08D677D48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819891"/>
        <c:axId val="1233231968"/>
      </c:barChart>
      <c:catAx>
        <c:axId val="5528198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300" b="0" i="0">
                    <a:solidFill>
                      <a:srgbClr val="000000"/>
                    </a:solidFill>
                    <a:latin typeface="Arial"/>
                  </a:defRPr>
                </a:pPr>
                <a:r>
                  <a:rPr lang="ja-JP" altLang="en-US" sz="1300" b="0" i="0">
                    <a:solidFill>
                      <a:srgbClr val="000000"/>
                    </a:solidFill>
                    <a:latin typeface="Arial"/>
                  </a:rPr>
                  <a:t>西暦</a:t>
                </a:r>
              </a:p>
            </c:rich>
          </c:tx>
          <c:layout>
            <c:manualLayout>
              <c:xMode val="edge"/>
              <c:yMode val="edge"/>
              <c:x val="0.92390382866760823"/>
              <c:y val="0.8211017740429504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1233231968"/>
        <c:crosses val="autoZero"/>
        <c:auto val="1"/>
        <c:lblAlgn val="ctr"/>
        <c:lblOffset val="100"/>
        <c:noMultiLvlLbl val="1"/>
      </c:catAx>
      <c:valAx>
        <c:axId val="12332319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 lvl="0">
                  <a:defRPr sz="1300" b="0" i="0">
                    <a:solidFill>
                      <a:srgbClr val="000000"/>
                    </a:solidFill>
                    <a:latin typeface="Arial"/>
                  </a:defRPr>
                </a:pPr>
                <a:r>
                  <a:rPr lang="ja-JP" altLang="en-US" sz="1300" b="0" i="0">
                    <a:solidFill>
                      <a:srgbClr val="000000"/>
                    </a:solidFill>
                    <a:latin typeface="Arial"/>
                  </a:rPr>
                  <a:t>万円</a:t>
                </a:r>
              </a:p>
            </c:rich>
          </c:tx>
          <c:layout>
            <c:manualLayout>
              <c:xMode val="edge"/>
              <c:yMode val="edge"/>
              <c:x val="1.1056511056511056E-2"/>
              <c:y val="0.395519677687347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>
            <a:prstDash val="solid"/>
          </a:ln>
        </c:spPr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55281989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sz="1000" b="0" i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zero"/>
    <c:showDLblsOverMax val="1"/>
  </c:chart>
  <c:spPr>
    <a:solidFill>
      <a:srgbClr val="FFFFFF"/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 lvl="0">
              <a:defRPr sz="1300" b="0" i="0">
                <a:solidFill>
                  <a:srgbClr val="757575"/>
                </a:solidFill>
                <a:latin typeface="Arial"/>
              </a:defRPr>
            </a:pPr>
            <a:r>
              <a:rPr lang="ja-JP" altLang="en-US" sz="1300" b="0" i="0">
                <a:solidFill>
                  <a:srgbClr val="757575"/>
                </a:solidFill>
                <a:latin typeface="Arial"/>
              </a:rPr>
              <a:t>ご家庭 </a:t>
            </a:r>
            <a:r>
              <a:rPr lang="en-US" sz="1300" b="0" i="0">
                <a:solidFill>
                  <a:srgbClr val="757575"/>
                </a:solidFill>
                <a:latin typeface="Arial"/>
              </a:rPr>
              <a:t>vs </a:t>
            </a:r>
            <a:r>
              <a:rPr lang="ja-JP" altLang="en-US" sz="1300" b="0" i="0">
                <a:solidFill>
                  <a:srgbClr val="757575"/>
                </a:solidFill>
                <a:latin typeface="Arial"/>
              </a:rPr>
              <a:t>全国平均（基準年）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ご家庭</c:v>
          </c:tx>
          <c:spPr>
            <a:solidFill>
              <a:srgbClr val="AB4744"/>
            </a:solidFill>
            <a:ln cmpd="sng">
              <a:solidFill>
                <a:srgbClr val="000000"/>
              </a:solidFill>
              <a:prstDash val="solid"/>
            </a:ln>
          </c:spPr>
          <c:invertIfNegative val="1"/>
          <c:cat>
            <c:strRef>
              <c:f>ダッシュボード!$B$62:$B$64</c:f>
              <c:strCache>
                <c:ptCount val="3"/>
                <c:pt idx="0">
                  <c:v>世帯年収</c:v>
                </c:pt>
                <c:pt idx="1">
                  <c:v>年間支出</c:v>
                </c:pt>
                <c:pt idx="2">
                  <c:v>年間収支</c:v>
                </c:pt>
              </c:strCache>
            </c:strRef>
          </c:cat>
          <c:val>
            <c:numRef>
              <c:f>ダッシュボード!$C$62:$C$64</c:f>
              <c:numCache>
                <c:formatCode>#,##0</c:formatCode>
                <c:ptCount val="3"/>
                <c:pt idx="0">
                  <c:v>800</c:v>
                </c:pt>
                <c:pt idx="1">
                  <c:v>864.96</c:v>
                </c:pt>
                <c:pt idx="2">
                  <c:v>-64.960000000000036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D46-457B-90AB-ECAF68E0377E}"/>
            </c:ext>
          </c:extLst>
        </c:ser>
        <c:ser>
          <c:idx val="1"/>
          <c:order val="1"/>
          <c:tx>
            <c:v>全国平均</c:v>
          </c:tx>
          <c:spPr>
            <a:solidFill>
              <a:srgbClr val="D09493"/>
            </a:solidFill>
            <a:ln cmpd="sng">
              <a:solidFill>
                <a:srgbClr val="000000"/>
              </a:solidFill>
              <a:prstDash val="solid"/>
            </a:ln>
          </c:spPr>
          <c:invertIfNegative val="1"/>
          <c:cat>
            <c:strRef>
              <c:f>ダッシュボード!$B$62:$B$64</c:f>
              <c:strCache>
                <c:ptCount val="3"/>
                <c:pt idx="0">
                  <c:v>世帯年収</c:v>
                </c:pt>
                <c:pt idx="1">
                  <c:v>年間支出</c:v>
                </c:pt>
                <c:pt idx="2">
                  <c:v>年間収支</c:v>
                </c:pt>
              </c:strCache>
            </c:strRef>
          </c:cat>
          <c:val>
            <c:numRef>
              <c:f>ダッシュボード!$D$62:$D$64</c:f>
              <c:numCache>
                <c:formatCode>#,##0</c:formatCode>
                <c:ptCount val="3"/>
                <c:pt idx="0">
                  <c:v>536.80000000000007</c:v>
                </c:pt>
                <c:pt idx="1">
                  <c:v>386.4</c:v>
                </c:pt>
                <c:pt idx="2">
                  <c:v>150.40000000000009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D46-457B-90AB-ECAF68E03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3522"/>
        <c:axId val="791733882"/>
      </c:barChart>
      <c:catAx>
        <c:axId val="155352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300" b="0" i="0">
                    <a:solidFill>
                      <a:srgbClr val="000000"/>
                    </a:solidFill>
                    <a:latin typeface="Arial"/>
                  </a:defRPr>
                </a:pPr>
                <a:r>
                  <a:rPr lang="en-US" sz="1300" b="0" i="0">
                    <a:solidFill>
                      <a:srgbClr val="000000"/>
                    </a:solidFill>
                    <a:latin typeface="Arial"/>
                  </a:rPr>
                  <a:t>None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791733882"/>
        <c:crosses val="autoZero"/>
        <c:auto val="1"/>
        <c:lblAlgn val="ctr"/>
        <c:lblOffset val="100"/>
        <c:noMultiLvlLbl val="1"/>
      </c:catAx>
      <c:valAx>
        <c:axId val="79173388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 lvl="0">
                  <a:defRPr sz="1300" b="0" i="0">
                    <a:solidFill>
                      <a:srgbClr val="000000"/>
                    </a:solidFill>
                    <a:latin typeface="Arial"/>
                  </a:defRPr>
                </a:pPr>
                <a:r>
                  <a:rPr lang="ja-JP" altLang="en-US" sz="1300" b="0" i="0">
                    <a:solidFill>
                      <a:srgbClr val="000000"/>
                    </a:solidFill>
                    <a:latin typeface="Arial"/>
                  </a:rPr>
                  <a:t>万円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>
            <a:prstDash val="solid"/>
          </a:ln>
        </c:spPr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155352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sz="1000" b="0" i="0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zero"/>
    <c:showDLblsOverMax val="1"/>
  </c:chart>
  <c:spPr>
    <a:solidFill>
      <a:srgbClr val="FFFFFF"/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キャッシュフロー表!$C$5:$C$70</c:f>
              <c:numCache>
                <c:formatCode>0</c:formatCode>
                <c:ptCount val="6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  <c:pt idx="51">
                  <c:v>2073</c:v>
                </c:pt>
                <c:pt idx="52">
                  <c:v>2074</c:v>
                </c:pt>
                <c:pt idx="53">
                  <c:v>2075</c:v>
                </c:pt>
                <c:pt idx="54">
                  <c:v>2076</c:v>
                </c:pt>
                <c:pt idx="55">
                  <c:v>2077</c:v>
                </c:pt>
                <c:pt idx="56">
                  <c:v>2078</c:v>
                </c:pt>
                <c:pt idx="57">
                  <c:v>2079</c:v>
                </c:pt>
                <c:pt idx="58">
                  <c:v>2080</c:v>
                </c:pt>
                <c:pt idx="59">
                  <c:v>2081</c:v>
                </c:pt>
                <c:pt idx="60">
                  <c:v>2082</c:v>
                </c:pt>
                <c:pt idx="61">
                  <c:v>2083</c:v>
                </c:pt>
                <c:pt idx="62">
                  <c:v>2084</c:v>
                </c:pt>
                <c:pt idx="63">
                  <c:v>2085</c:v>
                </c:pt>
                <c:pt idx="64">
                  <c:v>2086</c:v>
                </c:pt>
                <c:pt idx="65">
                  <c:v>2087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C-4A4A-A79C-2E504238575B}"/>
            </c:ext>
          </c:extLst>
        </c:ser>
        <c:ser>
          <c:idx val="1"/>
          <c:order val="1"/>
          <c:tx>
            <c:v>西暦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キャッシュフロー表!$Z$5:$Z$70</c:f>
              <c:numCache>
                <c:formatCode>0.00</c:formatCode>
                <c:ptCount val="66"/>
                <c:pt idx="0">
                  <c:v>1031.9148</c:v>
                </c:pt>
                <c:pt idx="1">
                  <c:v>1068.4991739999998</c:v>
                </c:pt>
                <c:pt idx="2">
                  <c:v>907.28296986999987</c:v>
                </c:pt>
                <c:pt idx="3">
                  <c:v>949.40589371934982</c:v>
                </c:pt>
                <c:pt idx="4">
                  <c:v>923.81075199794657</c:v>
                </c:pt>
                <c:pt idx="5">
                  <c:v>966.13382123683607</c:v>
                </c:pt>
                <c:pt idx="6">
                  <c:v>984.50766400768521</c:v>
                </c:pt>
                <c:pt idx="7">
                  <c:v>998.10342055815636</c:v>
                </c:pt>
                <c:pt idx="8">
                  <c:v>985.29240916531103</c:v>
                </c:pt>
                <c:pt idx="9">
                  <c:v>676.41681538104297</c:v>
                </c:pt>
                <c:pt idx="10">
                  <c:v>606.67537686248352</c:v>
                </c:pt>
                <c:pt idx="11">
                  <c:v>514.7089248940772</c:v>
                </c:pt>
                <c:pt idx="12">
                  <c:v>362.72982321063535</c:v>
                </c:pt>
                <c:pt idx="13">
                  <c:v>195.54847674107322</c:v>
                </c:pt>
                <c:pt idx="14">
                  <c:v>0.54603017149872812</c:v>
                </c:pt>
                <c:pt idx="15">
                  <c:v>-291.06058502659289</c:v>
                </c:pt>
                <c:pt idx="16">
                  <c:v>-645.76336754980412</c:v>
                </c:pt>
                <c:pt idx="17">
                  <c:v>-958.38863212110562</c:v>
                </c:pt>
                <c:pt idx="18">
                  <c:v>-1266.6535839230512</c:v>
                </c:pt>
                <c:pt idx="19">
                  <c:v>-1457.0914158443675</c:v>
                </c:pt>
                <c:pt idx="20">
                  <c:v>-1606.139457099951</c:v>
                </c:pt>
                <c:pt idx="21">
                  <c:v>-1666.4678797021911</c:v>
                </c:pt>
                <c:pt idx="22">
                  <c:v>-1742.622210165938</c:v>
                </c:pt>
                <c:pt idx="23">
                  <c:v>-1990.443105231856</c:v>
                </c:pt>
                <c:pt idx="24">
                  <c:v>-2284.4423740558227</c:v>
                </c:pt>
                <c:pt idx="25">
                  <c:v>-2262.0286199281063</c:v>
                </c:pt>
                <c:pt idx="26">
                  <c:v>-2419.0395437640991</c:v>
                </c:pt>
                <c:pt idx="27">
                  <c:v>-2434.9375896994115</c:v>
                </c:pt>
                <c:pt idx="28">
                  <c:v>-2631.9061039034618</c:v>
                </c:pt>
                <c:pt idx="29">
                  <c:v>-2589.4719705046555</c:v>
                </c:pt>
                <c:pt idx="30">
                  <c:v>-992.42615442921328</c:v>
                </c:pt>
                <c:pt idx="31">
                  <c:v>-838.52213278863667</c:v>
                </c:pt>
                <c:pt idx="32">
                  <c:v>-481.14801011924641</c:v>
                </c:pt>
                <c:pt idx="33">
                  <c:v>-120.68018383650923</c:v>
                </c:pt>
                <c:pt idx="34">
                  <c:v>242.89028041264157</c:v>
                </c:pt>
                <c:pt idx="35">
                  <c:v>291.63906099052974</c:v>
                </c:pt>
                <c:pt idx="36">
                  <c:v>341.91891382542821</c:v>
                </c:pt>
                <c:pt idx="37">
                  <c:v>193.73105763685146</c:v>
                </c:pt>
                <c:pt idx="38">
                  <c:v>246.07674942112035</c:v>
                </c:pt>
                <c:pt idx="39">
                  <c:v>299.95228448183013</c:v>
                </c:pt>
                <c:pt idx="40">
                  <c:v>355.35897146127542</c:v>
                </c:pt>
                <c:pt idx="41">
                  <c:v>412.29815724783282</c:v>
                </c:pt>
                <c:pt idx="42">
                  <c:v>470.7712270086767</c:v>
                </c:pt>
                <c:pt idx="43">
                  <c:v>530.77960422345177</c:v>
                </c:pt>
                <c:pt idx="44">
                  <c:v>392.32475071890207</c:v>
                </c:pt>
                <c:pt idx="45">
                  <c:v>454.40816670445793</c:v>
                </c:pt>
                <c:pt idx="46">
                  <c:v>518.0263908087818</c:v>
                </c:pt>
                <c:pt idx="47">
                  <c:v>583.18097511727319</c:v>
                </c:pt>
                <c:pt idx="48">
                  <c:v>649.8735100855348</c:v>
                </c:pt>
                <c:pt idx="49">
                  <c:v>718.10562457817434</c:v>
                </c:pt>
                <c:pt idx="50">
                  <c:v>787.87898590856605</c:v>
                </c:pt>
                <c:pt idx="51">
                  <c:v>659.1952998795723</c:v>
                </c:pt>
                <c:pt idx="52">
                  <c:v>731.05631082522609</c:v>
                </c:pt>
                <c:pt idx="53">
                  <c:v>804.45880165337701</c:v>
                </c:pt>
                <c:pt idx="54">
                  <c:v>879.4045688892985</c:v>
                </c:pt>
                <c:pt idx="55">
                  <c:v>955.89544759526132</c:v>
                </c:pt>
                <c:pt idx="56">
                  <c:v>1033.9333114154463</c:v>
                </c:pt>
                <c:pt idx="57">
                  <c:v>1113.5200726218211</c:v>
                </c:pt>
                <c:pt idx="58">
                  <c:v>994.65768216098138</c:v>
                </c:pt>
                <c:pt idx="59">
                  <c:v>1083.3481297019571</c:v>
                </c:pt>
                <c:pt idx="60">
                  <c:v>1173.6234436849868</c:v>
                </c:pt>
                <c:pt idx="61">
                  <c:v>1265.4858413712593</c:v>
                </c:pt>
                <c:pt idx="62">
                  <c:v>1358.9375796436238</c:v>
                </c:pt>
                <c:pt idx="63">
                  <c:v>1453.9809550620225</c:v>
                </c:pt>
                <c:pt idx="64">
                  <c:v>1550.6183039199123</c:v>
                </c:pt>
                <c:pt idx="65">
                  <c:v>1648.8520023016786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C-4A4A-A79C-2E5042385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1146799"/>
        <c:axId val="1721148719"/>
      </c:lineChart>
      <c:catAx>
        <c:axId val="172114679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1148719"/>
        <c:crosses val="autoZero"/>
        <c:auto val="1"/>
        <c:lblAlgn val="ctr"/>
        <c:lblOffset val="100"/>
        <c:noMultiLvlLbl val="0"/>
      </c:catAx>
      <c:valAx>
        <c:axId val="172114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1146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146050</xdr:colOff>
      <xdr:row>14</xdr:row>
      <xdr:rowOff>171450</xdr:rowOff>
    </xdr:from>
    <xdr:ext cx="10229850" cy="35242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702734</xdr:colOff>
      <xdr:row>37</xdr:row>
      <xdr:rowOff>152399</xdr:rowOff>
    </xdr:from>
    <xdr:ext cx="9203266" cy="3400425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0</xdr:colOff>
      <xdr:row>66</xdr:row>
      <xdr:rowOff>0</xdr:rowOff>
    </xdr:from>
    <xdr:ext cx="5210175" cy="3038475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384175</xdr:colOff>
      <xdr:row>54</xdr:row>
      <xdr:rowOff>82550</xdr:rowOff>
    </xdr:from>
    <xdr:to>
      <xdr:col>12</xdr:col>
      <xdr:colOff>549275</xdr:colOff>
      <xdr:row>68</xdr:row>
      <xdr:rowOff>158750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49CFC78-A9E8-6C77-1826-F414D5268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showGridLines="0" topLeftCell="A29" workbookViewId="0">
      <selection activeCell="D37" sqref="D36:D37"/>
    </sheetView>
  </sheetViews>
  <sheetFormatPr defaultColWidth="14.453125" defaultRowHeight="15" customHeight="1"/>
  <cols>
    <col min="1" max="1" width="3" customWidth="1"/>
    <col min="2" max="4" width="28" customWidth="1"/>
    <col min="5" max="5" width="8.54296875" customWidth="1"/>
    <col min="6" max="6" width="14.453125" customWidth="1"/>
  </cols>
  <sheetData>
    <row r="1" spans="1:25" ht="36" customHeight="1">
      <c r="A1" s="1"/>
      <c r="B1" s="229" t="s">
        <v>30</v>
      </c>
      <c r="C1" s="230"/>
      <c r="D1" s="23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" customHeight="1">
      <c r="A2" s="1"/>
      <c r="B2" s="237" t="s">
        <v>31</v>
      </c>
      <c r="C2" s="227"/>
      <c r="D2" s="22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1"/>
      <c r="B3" s="2"/>
      <c r="C3" s="1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" customHeight="1">
      <c r="A4" s="1"/>
      <c r="B4" s="4" t="s">
        <v>32</v>
      </c>
      <c r="C4" s="1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" customHeight="1">
      <c r="A5" s="1"/>
      <c r="B5" s="5" t="s">
        <v>33</v>
      </c>
      <c r="C5" s="6"/>
      <c r="D5" s="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" customHeight="1">
      <c r="A6" s="1"/>
      <c r="B6" s="5" t="s">
        <v>34</v>
      </c>
      <c r="C6" s="6"/>
      <c r="D6" s="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2.25" customHeight="1">
      <c r="A7" s="1"/>
      <c r="B7" s="233" t="s">
        <v>35</v>
      </c>
      <c r="C7" s="223"/>
      <c r="D7" s="225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" customHeight="1">
      <c r="A8" s="1"/>
      <c r="B8" s="8"/>
      <c r="C8" s="1"/>
      <c r="D8" s="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" customHeight="1">
      <c r="A9" s="1"/>
      <c r="B9" s="4" t="s">
        <v>36</v>
      </c>
      <c r="C9" s="1"/>
      <c r="D9" s="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" customHeight="1">
      <c r="A10" s="1"/>
      <c r="B10" s="5" t="s">
        <v>37</v>
      </c>
      <c r="C10" s="6"/>
      <c r="D10" s="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" customHeight="1">
      <c r="A11" s="1"/>
      <c r="B11" s="5" t="s">
        <v>38</v>
      </c>
      <c r="C11" s="6"/>
      <c r="D11" s="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" customHeight="1">
      <c r="A12" s="1"/>
      <c r="B12" s="5" t="s">
        <v>39</v>
      </c>
      <c r="C12" s="6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customHeight="1">
      <c r="A13" s="1"/>
      <c r="B13" s="5" t="s">
        <v>40</v>
      </c>
      <c r="C13" s="6"/>
      <c r="D13" s="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customHeight="1">
      <c r="A14" s="1"/>
      <c r="B14" s="5" t="s">
        <v>41</v>
      </c>
      <c r="C14" s="6"/>
      <c r="D14" s="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customHeight="1">
      <c r="A15" s="1"/>
      <c r="B15" s="5" t="s">
        <v>42</v>
      </c>
      <c r="C15" s="6"/>
      <c r="D15" s="7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" customHeight="1">
      <c r="A16" s="1"/>
      <c r="B16" s="5" t="s">
        <v>43</v>
      </c>
      <c r="C16" s="6"/>
      <c r="D16" s="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" customHeight="1">
      <c r="A17" s="1"/>
      <c r="B17" s="5" t="s">
        <v>44</v>
      </c>
      <c r="C17" s="6"/>
      <c r="D17" s="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" customHeight="1">
      <c r="A18" s="1"/>
      <c r="B18" s="5" t="s">
        <v>45</v>
      </c>
      <c r="C18" s="6"/>
      <c r="D18" s="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" customHeight="1">
      <c r="A19" s="1"/>
      <c r="B19" s="5" t="s">
        <v>46</v>
      </c>
      <c r="C19" s="6"/>
      <c r="D19" s="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" customHeight="1">
      <c r="A20" s="1"/>
      <c r="B20" s="8"/>
      <c r="C20" s="1"/>
      <c r="D20" s="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" customHeight="1">
      <c r="A21" s="1"/>
      <c r="B21" s="4" t="s">
        <v>47</v>
      </c>
      <c r="C21" s="1"/>
      <c r="D21" s="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" customHeight="1">
      <c r="A22" s="1"/>
      <c r="B22" s="9" t="s">
        <v>48</v>
      </c>
      <c r="C22" s="10"/>
      <c r="D22" s="1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" customHeight="1">
      <c r="A23" s="1"/>
      <c r="B23" s="12" t="s">
        <v>49</v>
      </c>
      <c r="C23" s="13"/>
      <c r="D23" s="14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6" customHeight="1">
      <c r="A24" s="1"/>
      <c r="B24" s="234" t="s">
        <v>447</v>
      </c>
      <c r="C24" s="235"/>
      <c r="D24" s="23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4.5" customHeight="1">
      <c r="A25" s="1"/>
      <c r="B25" s="8"/>
      <c r="C25" s="1"/>
      <c r="D25" s="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" customHeight="1">
      <c r="A26" s="1"/>
      <c r="B26" s="4" t="s">
        <v>50</v>
      </c>
      <c r="C26" s="1"/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3" customHeight="1">
      <c r="A27" s="1"/>
      <c r="B27" s="8"/>
      <c r="C27" s="1"/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3.25" customHeight="1">
      <c r="A28" s="1"/>
      <c r="B28" s="224" t="s">
        <v>51</v>
      </c>
      <c r="C28" s="223"/>
      <c r="D28" s="22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6.75" customHeight="1">
      <c r="A29" s="1"/>
      <c r="B29" s="15"/>
      <c r="C29" s="16"/>
      <c r="D29" s="1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73.5" customHeight="1">
      <c r="A30" s="1"/>
      <c r="B30" s="232" t="s">
        <v>52</v>
      </c>
      <c r="C30" s="230"/>
      <c r="D30" s="230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49.5" customHeight="1">
      <c r="A31" s="1"/>
      <c r="B31" s="226" t="s">
        <v>449</v>
      </c>
      <c r="C31" s="227"/>
      <c r="D31" s="22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>
      <c r="A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8.5" customHeight="1">
      <c r="A33" s="1"/>
      <c r="B33" s="222" t="s">
        <v>53</v>
      </c>
      <c r="C33" s="223"/>
      <c r="D33" s="22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</row>
    <row r="228" spans="1:25" ht="15.75" customHeight="1">
      <c r="A228" s="1"/>
      <c r="B228" s="1"/>
      <c r="C228" s="1"/>
      <c r="D228" s="1"/>
      <c r="E228" s="1"/>
    </row>
    <row r="229" spans="1:25" ht="15.75" customHeight="1">
      <c r="A229" s="1"/>
      <c r="B229" s="1"/>
      <c r="C229" s="1"/>
      <c r="D229" s="1"/>
      <c r="E229" s="1"/>
    </row>
    <row r="230" spans="1:25" ht="15.75" customHeight="1">
      <c r="A230" s="1"/>
      <c r="B230" s="1"/>
      <c r="C230" s="1"/>
      <c r="D230" s="1"/>
      <c r="E230" s="1"/>
    </row>
    <row r="231" spans="1:25" ht="15.75" customHeight="1">
      <c r="A231" s="1"/>
      <c r="B231" s="1"/>
      <c r="C231" s="1"/>
      <c r="D231" s="1"/>
      <c r="E231" s="1"/>
    </row>
    <row r="232" spans="1:25" ht="15.75" customHeight="1">
      <c r="A232" s="1"/>
      <c r="B232" s="1"/>
      <c r="C232" s="1"/>
      <c r="D232" s="1"/>
      <c r="E232" s="1"/>
    </row>
    <row r="233" spans="1:25" ht="15.75" customHeight="1">
      <c r="A233" s="1"/>
      <c r="B233" s="1"/>
      <c r="C233" s="1"/>
      <c r="D233" s="1"/>
      <c r="E233" s="1"/>
    </row>
    <row r="234" spans="1:25" ht="15.75" customHeight="1"/>
    <row r="235" spans="1:25" ht="15.75" customHeight="1"/>
    <row r="236" spans="1:25" ht="15.75" customHeight="1"/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B33:D33"/>
    <mergeCell ref="B28:D28"/>
    <mergeCell ref="B31:D31"/>
    <mergeCell ref="B1:D1"/>
    <mergeCell ref="B30:D30"/>
    <mergeCell ref="B7:D7"/>
    <mergeCell ref="B24:D24"/>
    <mergeCell ref="B2:D2"/>
  </mergeCells>
  <phoneticPr fontId="37"/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1000"/>
  <sheetViews>
    <sheetView showGridLines="0" topLeftCell="R37" workbookViewId="0">
      <selection activeCell="Z24" sqref="Z24"/>
    </sheetView>
  </sheetViews>
  <sheetFormatPr defaultColWidth="14.453125" defaultRowHeight="15" customHeight="1"/>
  <cols>
    <col min="1" max="1" width="3" customWidth="1"/>
    <col min="2" max="3" width="8" customWidth="1"/>
    <col min="4" max="8" width="7" customWidth="1"/>
    <col min="9" max="10" width="6.54296875" customWidth="1"/>
    <col min="11" max="13" width="11" customWidth="1"/>
    <col min="14" max="14" width="12" customWidth="1"/>
    <col min="15" max="21" width="11" customWidth="1"/>
    <col min="22" max="23" width="12" customWidth="1"/>
    <col min="24" max="24" width="13" customWidth="1"/>
  </cols>
  <sheetData>
    <row r="1" spans="1:28" ht="17.25" customHeight="1">
      <c r="A1" s="1"/>
      <c r="B1" s="239" t="s">
        <v>0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AA1" s="1"/>
      <c r="AB1" s="1"/>
    </row>
    <row r="2" spans="1:28" ht="15" customHeight="1">
      <c r="A2" s="1"/>
      <c r="B2" s="247" t="s">
        <v>1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AA2" s="1"/>
      <c r="AB2" s="1"/>
    </row>
    <row r="3" spans="1:28" ht="15" customHeight="1">
      <c r="A3" s="1"/>
      <c r="B3" s="244" t="s">
        <v>2</v>
      </c>
      <c r="C3" s="241"/>
      <c r="D3" s="163" t="s">
        <v>3</v>
      </c>
      <c r="I3" s="245"/>
      <c r="J3" s="246"/>
      <c r="K3" s="246"/>
      <c r="L3" s="246"/>
      <c r="M3" s="246"/>
      <c r="N3" s="246"/>
      <c r="O3" s="243"/>
      <c r="P3" s="241"/>
      <c r="Q3" s="241"/>
      <c r="R3" s="241"/>
      <c r="S3" s="241"/>
      <c r="T3" s="241"/>
      <c r="U3" s="241"/>
      <c r="V3" s="241"/>
      <c r="W3" s="243"/>
      <c r="X3" s="241"/>
      <c r="Y3" s="163" t="s">
        <v>4</v>
      </c>
      <c r="Z3" s="164"/>
      <c r="AA3" s="1"/>
      <c r="AB3" s="1"/>
    </row>
    <row r="4" spans="1:28" ht="30" customHeight="1">
      <c r="A4" s="1"/>
      <c r="B4" s="165" t="s">
        <v>5</v>
      </c>
      <c r="C4" s="165" t="s">
        <v>6</v>
      </c>
      <c r="D4" s="165" t="s">
        <v>7</v>
      </c>
      <c r="E4" s="165" t="s">
        <v>8</v>
      </c>
      <c r="F4" s="165" t="s">
        <v>9</v>
      </c>
      <c r="G4" s="165" t="s">
        <v>10</v>
      </c>
      <c r="H4" s="165" t="s">
        <v>11</v>
      </c>
      <c r="I4" s="165" t="s">
        <v>12</v>
      </c>
      <c r="J4" s="165" t="s">
        <v>13</v>
      </c>
      <c r="K4" s="166" t="s">
        <v>14</v>
      </c>
      <c r="L4" s="166" t="s">
        <v>15</v>
      </c>
      <c r="M4" s="166" t="s">
        <v>16</v>
      </c>
      <c r="N4" s="166" t="s">
        <v>17</v>
      </c>
      <c r="O4" s="165" t="s">
        <v>18</v>
      </c>
      <c r="P4" s="165" t="s">
        <v>19</v>
      </c>
      <c r="Q4" s="165" t="s">
        <v>20</v>
      </c>
      <c r="R4" s="165" t="s">
        <v>21</v>
      </c>
      <c r="S4" s="165" t="s">
        <v>22</v>
      </c>
      <c r="T4" s="166" t="s">
        <v>23</v>
      </c>
      <c r="U4" s="165" t="s">
        <v>24</v>
      </c>
      <c r="V4" s="165" t="s">
        <v>25</v>
      </c>
      <c r="W4" s="165" t="s">
        <v>26</v>
      </c>
      <c r="X4" s="165" t="s">
        <v>27</v>
      </c>
      <c r="Y4" s="165" t="s">
        <v>28</v>
      </c>
      <c r="Z4" s="165" t="s">
        <v>29</v>
      </c>
      <c r="AA4" s="1"/>
      <c r="AB4" s="1"/>
    </row>
    <row r="5" spans="1:28" ht="15" customHeight="1">
      <c r="A5" s="1"/>
      <c r="B5" s="167">
        <v>1</v>
      </c>
      <c r="C5" s="168">
        <f>基本情報!$C$3+B5-1</f>
        <v>2022</v>
      </c>
      <c r="D5" s="200">
        <f>IF(基本情報!$D$6="","",C5-YEAR(基本情報!$D$6)-IF(OR(MONTH(基本情報!$D$6)&gt;1,DAY(基本情報!$D$6)&gt;1),1,0))</f>
        <v>35</v>
      </c>
      <c r="E5" s="168">
        <f>IF(基本情報!$D$7="","",C5-YEAR(基本情報!$D$7)-IF(OR(MONTH(基本情報!$D$7)&gt;1,DAY(基本情報!$D$7)&gt;1),1,0))</f>
        <v>34</v>
      </c>
      <c r="F5" s="169">
        <f>IF(OR(基本情報!$D$8="",C5&lt;=YEAR(基本情報!$D$8)),"",MAX(0,C5-YEAR(基本情報!$D$8)-IF(OR(MONTH(基本情報!$D$8)&gt;1,DAY(基本情報!$D$8)&gt;1),1,0)))</f>
        <v>3</v>
      </c>
      <c r="G5" s="169">
        <f>IF(OR(基本情報!$D$9="",C5&lt;=YEAR(基本情報!$D$9)),"",MAX(0,C5-YEAR(基本情報!$D$9)-IF(OR(MONTH(基本情報!$D$9)&gt;1,DAY(基本情報!$D$9)&gt;1),1,0)))</f>
        <v>1</v>
      </c>
      <c r="H5" s="169" t="str">
        <f>IF(OR(基本情報!$D$10="",C5&lt;=YEAR(基本情報!$D$10)),"",MAX(0,C5-YEAR(基本情報!$D$10)-IF(OR(MONTH(基本情報!$D$10)&gt;1,DAY(基本情報!$D$10)&gt;1),1,0)))</f>
        <v/>
      </c>
      <c r="I5" s="169" t="str">
        <f>IF(OR(基本情報!$D$11="",C5&lt;=YEAR(基本情報!$D$11)),"",MAX(0,C5-YEAR(基本情報!$D$11)-IF(OR(MONTH(基本情報!$D$11)&gt;1,DAY(基本情報!$D$11)&gt;1),1,0)))</f>
        <v/>
      </c>
      <c r="J5" s="169" t="str">
        <f>IF(OR(基本情報!$D$12="",C5&lt;=YEAR(基本情報!$D$12)),"",MAX(0,C5-YEAR(基本情報!$D$12)-IF(OR(MONTH(基本情報!$D$12)&gt;1,DAY(基本情報!$D$12)&gt;1),1,0)))</f>
        <v/>
      </c>
      <c r="K5" s="197">
        <f>IF(D5="","",IF(D5&lt;基本情報!$C$15,MAX(0,収入計画!$D$5*(1+収入計画!$E$5)^(B5-1)),IF(AND(D5&gt;=基本情報!$C$15,D5&lt;基本情報!$C$20),MAX(0,基本情報!$C$19*(収入計画!$D$5/収入計画!$C$5)),0)))</f>
        <v>396</v>
      </c>
      <c r="L5" s="171">
        <f>IF(E5="","",IF(E5&lt;基本情報!$D$15,IF(E5&lt;MAX(収入計画!$C$11,収入計画!$C$14,収入計画!$C$17,収入計画!$C$20,収入計画!$C$23),MAX(0,収入計画!$D$6*0.5*(1+収入計画!$E$6)^(B5-1)),MAX(0,収入計画!$D$6*(1+収入計画!$E$6)^(B5-1))),IF(AND(E5&gt;=基本情報!$D$15,E5&lt;基本情報!$D$20),MAX(0,基本情報!$D$19*(収入計画!$D$6/収入計画!$C$6)),0)))</f>
        <v>241</v>
      </c>
      <c r="M5" s="171">
        <f>IF(OR(D5="",E5=""),"",IF(D5=基本情報!$C$15,基本情報!$C$16,0)+IF(E5=基本情報!$D$15,基本情報!$D$16,0))</f>
        <v>0</v>
      </c>
      <c r="N5" s="170" t="str">
        <f>IF(D5="","",IF(OR(D5&gt;=基本情報!$C$17,E5&gt;=基本情報!$D$17),MAX(0,IF(D5&gt;=基本情報!$C$17,基本情報!$C$18*12,0)+IF(AND(E5&lt;&gt;"",E5&gt;=基本情報!$D$17),基本情報!$D$18*12,0)),""))</f>
        <v/>
      </c>
      <c r="O5" s="170">
        <f t="shared" ref="O5:O36" si="0">IF(F5="",0,IF(AND(F5&gt;=0,F5&lt;=15),12,0)+IF(F5=17,100,0))+IF(G5="",0,IF(AND(G5&gt;=0,G5&lt;=15),12,0)+IF(G5=17,100,0))+IF(H5="",0,IF(AND(H5&gt;=0,H5&lt;=15),12,0)+IF(H5=17,100,0))+IF(I5="",0,IF(AND(I5&gt;=0,I5&lt;=15),12,0)+IF(I5=17,100,0))+IF(J5="",0,IF(AND(J5&gt;=0,J5&lt;=15),12,0)+IF(J5=17,100,0))+IF(B5=1,500,0)</f>
        <v>524</v>
      </c>
      <c r="P5" s="205">
        <f t="shared" ref="P5:P36" si="1">SUM(K5:O5)</f>
        <v>1161</v>
      </c>
      <c r="Q5" s="170">
        <f>IF(D5&lt;基本情報!$C$17,支出計画!$C$5*(1+支出計画!$D$5)^(B5-1),支出計画!$C$6*(1+支出計画!$D$6)^(D5-基本情報!$C$17))-IF(AND(F5&gt;=22,F5&lt;&gt;""),支出計画!$C$45,0)</f>
        <v>300</v>
      </c>
      <c r="R5" s="170">
        <f>IF(C5&lt;住宅ローン償還表!$C$9,支出計画!$C$7,0)</f>
        <v>0</v>
      </c>
      <c r="S5" s="170">
        <f>IFERROR(VLOOKUP(C5,住宅ローン償還表!$C$17:$H$46,6,FALSE()),0)</f>
        <v>181.70519999999999</v>
      </c>
      <c r="T5" s="194">
        <f>(IF(ライフイベント表!F4="",0,IF(AND(ライフイベント表!F4&gt;=0,ライフイベント表!F4&lt;=5),支出計画!$D$24,IF(AND(ライフイベント表!F4&gt;=6,ライフイベント表!F4&lt;=11),支出計画!$D$25,IF(AND(ライフイベント表!F4&gt;=12,ライフイベント表!F4&lt;=14),支出計画!$D$26,IF(AND(ライフイベント表!F4&gt;=15,ライフイベント表!F4&lt;=17),支出計画!$D$27,IF(ライフイベント表!F4=18,支出計画!$D$28,IF(AND(ライフイベント表!F4&gt;=19,ライフイベント表!F4&lt;=21),支出計画!$D$29,0)))))))+IF(ライフイベント表!G4="",0,IF(AND(ライフイベント表!G4&gt;=0,ライフイベント表!G4&lt;=5),支出計画!$D$24,IF(AND(ライフイベント表!G4&gt;=6,ライフイベント表!G4&lt;=11),支出計画!$D$25,IF(AND(ライフイベント表!G4&gt;=12,ライフイベント表!G4&lt;=14),支出計画!$D$26,IF(AND(ライフイベント表!G4&gt;=15,ライフイベント表!G4&lt;=17),支出計画!$D$27,IF(ライフイベント表!G4=18,支出計画!$D$28,IF(AND(ライフイベント表!G4&gt;=19,ライフイベント表!G4&lt;=21),支出計画!$D$29,0)))))))+IF(ライフイベント表!H4="",0,IF(AND(ライフイベント表!H4&gt;=0,ライフイベント表!H4&lt;=5),支出計画!$D$24,IF(AND(ライフイベント表!H4&gt;=6,ライフイベント表!H4&lt;=11),支出計画!$D$25,IF(AND(ライフイベント表!H4&gt;=12,ライフイベント表!H4&lt;=14),支出計画!$D$26,IF(AND(ライフイベント表!H4&gt;=15,ライフイベント表!H4&lt;=17),支出計画!$D$27,IF(ライフイベント表!H4=18,支出計画!$D$28,IF(AND(ライフイベント表!H4&gt;=19,ライフイベント表!H4&lt;=21),支出計画!$D$29,0)))))))+IF(ライフイベント表!I4="",0,IF(AND(ライフイベント表!I4&gt;=0,ライフイベント表!I4&lt;=5),支出計画!$D$24,IF(AND(ライフイベント表!I4&gt;=6,ライフイベント表!I4&lt;=11),支出計画!$D$25,IF(AND(ライフイベント表!I4&gt;=12,ライフイベント表!I4&lt;=14),支出計画!$D$26,IF(AND(ライフイベント表!I4&gt;=15,ライフイベント表!I4&lt;=17),支出計画!$D$27,IF(ライフイベント表!I4=18,支出計画!$D$28,IF(AND(ライフイベント表!I4&gt;=19,ライフイベント表!I4&lt;=21),支出計画!$D$29,0)))))))+IF(ライフイベント表!J4="",0,IF(AND(ライフイベント表!J4&gt;=0,ライフイベント表!J4&lt;=5),支出計画!$D$24,IF(AND(ライフイベント表!J4&gt;=6,ライフイベント表!J4&lt;=11),支出計画!$D$25,IF(AND(ライフイベント表!J4&gt;=12,ライフイベント表!J4&lt;=14),支出計画!$D$26,IF(AND(ライフイベント表!J4&gt;=15,ライフイベント表!J4&lt;=17),支出計画!$D$27,IF(ライフイベント表!J4=18,支出計画!$D$28,IF(AND(ライフイベント表!J4&gt;=19,ライフイベント表!J4&lt;=21),支出計画!$D$29,0))))))))*POWER(1.02,B5-1)</f>
        <v>68</v>
      </c>
      <c r="U5" s="170">
        <f>SUMPRODUCT((保険!$G$5:$G$12&lt;=C5)*(保険!$H$5:$H$12&gt;=C5)*保険!$F$5:$F$12)</f>
        <v>45.88</v>
      </c>
      <c r="V5" s="170">
        <f>支出計画!$C$9</f>
        <v>36</v>
      </c>
      <c r="W5" s="170">
        <f>IF(AND(C5&gt;=支出計画!$D$35,C5&lt;=支出計画!$F$35,MOD(C5-支出計画!$D$35,支出計画!$E$35)=0),支出計画!$C$35,0)+IF(AND(C5&gt;=支出計画!$D$36,C5&lt;=支出計画!$F$36,MOD(C5-支出計画!$D$36,支出計画!$E$36)=0),支出計画!$C$36,0)+IF(C5=支出計画!$D$37,支出計画!$C$37,0)+IF(C5=支出計画!$D$38,支出計画!$C$38,0)</f>
        <v>0</v>
      </c>
      <c r="X5" s="172">
        <f t="shared" ref="X5:X36" si="2">SUM(Q5:W5)</f>
        <v>631.58519999999999</v>
      </c>
      <c r="Y5" s="172">
        <f t="shared" ref="Y5:Y36" si="3">P5-X5</f>
        <v>529.41480000000001</v>
      </c>
      <c r="Z5" s="172">
        <f>IF(B5=1,金融資産!$C$12*(1+金融資産!$C$15)+Y5,Z4*(1+金融資産!$C$15)+Y5)</f>
        <v>1031.9148</v>
      </c>
      <c r="AA5" s="1"/>
      <c r="AB5" s="1"/>
    </row>
    <row r="6" spans="1:28" ht="15" customHeight="1">
      <c r="A6" s="1"/>
      <c r="B6" s="167">
        <v>2</v>
      </c>
      <c r="C6" s="168">
        <f>基本情報!$C$3+B6-1</f>
        <v>2023</v>
      </c>
      <c r="D6" s="200">
        <f>IF(基本情報!$D$6="","",C6-YEAR(基本情報!$D$6)-IF(OR(MONTH(基本情報!$D$6)&gt;1,DAY(基本情報!$D$6)&gt;1),1,0))</f>
        <v>36</v>
      </c>
      <c r="E6" s="168">
        <f>IF(基本情報!$D$7="","",C6-YEAR(基本情報!$D$7)-IF(OR(MONTH(基本情報!$D$7)&gt;1,DAY(基本情報!$D$7)&gt;1),1,0))</f>
        <v>35</v>
      </c>
      <c r="F6" s="169">
        <f>IF(OR(基本情報!$D$8="",C6&lt;=YEAR(基本情報!$D$8)),"",MAX(0,C6-YEAR(基本情報!$D$8)-IF(OR(MONTH(基本情報!$D$8)&gt;1,DAY(基本情報!$D$8)&gt;1),1,0)))</f>
        <v>4</v>
      </c>
      <c r="G6" s="169">
        <f>IF(OR(基本情報!$D$9="",C6&lt;=YEAR(基本情報!$D$9)),"",MAX(0,C6-YEAR(基本情報!$D$9)-IF(OR(MONTH(基本情報!$D$9)&gt;1,DAY(基本情報!$D$9)&gt;1),1,0)))</f>
        <v>2</v>
      </c>
      <c r="H6" s="169" t="str">
        <f>IF(OR(基本情報!$D$10="",C6&lt;=YEAR(基本情報!$D$10)),"",MAX(0,C6-YEAR(基本情報!$D$10)-IF(OR(MONTH(基本情報!$D$10)&gt;1,DAY(基本情報!$D$10)&gt;1),1,0)))</f>
        <v/>
      </c>
      <c r="I6" s="169" t="str">
        <f>IF(OR(基本情報!$D$11="",C6&lt;=YEAR(基本情報!$D$11)),"",MAX(0,C6-YEAR(基本情報!$D$11)-IF(OR(MONTH(基本情報!$D$11)&gt;1,DAY(基本情報!$D$11)&gt;1),1,0)))</f>
        <v/>
      </c>
      <c r="J6" s="169" t="str">
        <f>IF(OR(基本情報!$D$12="",C6&lt;=YEAR(基本情報!$D$12)),"",MAX(0,C6-YEAR(基本情報!$D$12)-IF(OR(MONTH(基本情報!$D$12)&gt;1,DAY(基本情報!$D$12)&gt;1),1,0)))</f>
        <v/>
      </c>
      <c r="K6" s="197">
        <f>IF(D6="","",IF(D6&lt;基本情報!$C$15,MAX(0,収入計画!$D$5*(1+収入計画!$E$5)^(B6-1)),IF(AND(D6&gt;=基本情報!$C$15,D6&lt;基本情報!$C$20),MAX(0,基本情報!$C$19*(収入計画!$D$5/収入計画!$C$5)),0)))</f>
        <v>399.96</v>
      </c>
      <c r="L6" s="170">
        <f>IF(E6="","",IF(E6&lt;基本情報!$D$15,IF(E6&lt;MAX(収入計画!$C$11,収入計画!$C$14,収入計画!$C$17,収入計画!$C$20,収入計画!$C$23),MAX(0,収入計画!$D$6*0.5*(1+収入計画!$E$6)^(B6-1)),MAX(0,収入計画!$D$6*(1+収入計画!$E$6)^(B6-1))),IF(AND(E6&gt;=基本情報!$D$15,E6&lt;基本情報!$D$20),MAX(0,基本情報!$D$19*(収入計画!$D$6/収入計画!$C$6)),0)))</f>
        <v>243.41</v>
      </c>
      <c r="M6" s="170">
        <f>IF(OR(D6="",E6=""),"",IF(D6=基本情報!$C$15,基本情報!$C$16,0)+IF(E6=基本情報!$D$15,基本情報!$D$16,0))</f>
        <v>0</v>
      </c>
      <c r="N6" s="170" t="str">
        <f>IF(D6="","",IF(OR(D6&gt;=基本情報!$C$17,E6&gt;=基本情報!$D$17),MAX(0,IF(D6&gt;=基本情報!$C$17,基本情報!$C$18*12,0)+IF(AND(E6&lt;&gt;"",E6&gt;=基本情報!$D$17),基本情報!$D$18*12,0)),""))</f>
        <v/>
      </c>
      <c r="O6" s="170">
        <f t="shared" si="0"/>
        <v>24</v>
      </c>
      <c r="P6" s="205">
        <f t="shared" si="1"/>
        <v>667.37</v>
      </c>
      <c r="Q6" s="170">
        <f>IF(D6&lt;基本情報!$C$17,支出計画!$C$5*(1+支出計画!$D$5)^(B6-1),支出計画!$C$6*(1+支出計画!$D$6)^(D6-基本情報!$C$17))-IF(AND(F6&gt;=22,F6&lt;&gt;""),支出計画!$C$45,0)</f>
        <v>303</v>
      </c>
      <c r="R6" s="170">
        <f>IF(C6&lt;住宅ローン償還表!$C$9,支出計画!$C$7,0)</f>
        <v>0</v>
      </c>
      <c r="S6" s="170">
        <f>IFERROR(VLOOKUP(C6,住宅ローン償還表!$C$17:$H$46,6,FALSE()),0)</f>
        <v>181.70519999999999</v>
      </c>
      <c r="T6" s="194">
        <f>(IF(ライフイベント表!F5="",0,IF(AND(ライフイベント表!F5&gt;=0,ライフイベント表!F5&lt;=5),支出計画!$D$24,IF(AND(ライフイベント表!F5&gt;=6,ライフイベント表!F5&lt;=11),支出計画!$D$25,IF(AND(ライフイベント表!F5&gt;=12,ライフイベント表!F5&lt;=14),支出計画!$D$26,IF(AND(ライフイベント表!F5&gt;=15,ライフイベント表!F5&lt;=17),支出計画!$D$27,IF(ライフイベント表!F5=18,支出計画!$D$28,IF(AND(ライフイベント表!F5&gt;=19,ライフイベント表!F5&lt;=21),支出計画!$D$29,0)))))))+IF(ライフイベント表!G5="",0,IF(AND(ライフイベント表!G5&gt;=0,ライフイベント表!G5&lt;=5),支出計画!$D$24,IF(AND(ライフイベント表!G5&gt;=6,ライフイベント表!G5&lt;=11),支出計画!$D$25,IF(AND(ライフイベント表!G5&gt;=12,ライフイベント表!G5&lt;=14),支出計画!$D$26,IF(AND(ライフイベント表!G5&gt;=15,ライフイベント表!G5&lt;=17),支出計画!$D$27,IF(ライフイベント表!G5=18,支出計画!$D$28,IF(AND(ライフイベント表!G5&gt;=19,ライフイベント表!G5&lt;=21),支出計画!$D$29,0)))))))+IF(ライフイベント表!H5="",0,IF(AND(ライフイベント表!H5&gt;=0,ライフイベント表!H5&lt;=5),支出計画!$D$24,IF(AND(ライフイベント表!H5&gt;=6,ライフイベント表!H5&lt;=11),支出計画!$D$25,IF(AND(ライフイベント表!H5&gt;=12,ライフイベント表!H5&lt;=14),支出計画!$D$26,IF(AND(ライフイベント表!H5&gt;=15,ライフイベント表!H5&lt;=17),支出計画!$D$27,IF(ライフイベント表!H5=18,支出計画!$D$28,IF(AND(ライフイベント表!H5&gt;=19,ライフイベント表!H5&lt;=21),支出計画!$D$29,0)))))))+IF(ライフイベント表!I5="",0,IF(AND(ライフイベント表!I5&gt;=0,ライフイベント表!I5&lt;=5),支出計画!$D$24,IF(AND(ライフイベント表!I5&gt;=6,ライフイベント表!I5&lt;=11),支出計画!$D$25,IF(AND(ライフイベント表!I5&gt;=12,ライフイベント表!I5&lt;=14),支出計画!$D$26,IF(AND(ライフイベント表!I5&gt;=15,ライフイベント表!I5&lt;=17),支出計画!$D$27,IF(ライフイベント表!I5=18,支出計画!$D$28,IF(AND(ライフイベント表!I5&gt;=19,ライフイベント表!I5&lt;=21),支出計画!$D$29,0)))))))+IF(ライフイベント表!J5="",0,IF(AND(ライフイベント表!J5&gt;=0,ライフイベント表!J5&lt;=5),支出計画!$D$24,IF(AND(ライフイベント表!J5&gt;=6,ライフイベント表!J5&lt;=11),支出計画!$D$25,IF(AND(ライフイベント表!J5&gt;=12,ライフイベント表!J5&lt;=14),支出計画!$D$26,IF(AND(ライフイベント表!J5&gt;=15,ライフイベント表!J5&lt;=17),支出計画!$D$27,IF(ライフイベント表!J5=18,支出計画!$D$28,IF(AND(ライフイベント表!J5&gt;=19,ライフイベント表!J5&lt;=21),支出計画!$D$29,0))))))))*POWER(1.02,B6-1)</f>
        <v>69.36</v>
      </c>
      <c r="U6" s="170">
        <f>SUMPRODUCT((保険!$G$5:$G$12&lt;=C6)*(保険!$H$5:$H$12&gt;=C6)*保険!$F$5:$F$12)</f>
        <v>45.88</v>
      </c>
      <c r="V6" s="170">
        <f>支出計画!$C$9</f>
        <v>36</v>
      </c>
      <c r="W6" s="170">
        <f>IF(AND(C6&gt;=支出計画!$D$35,C6&lt;=支出計画!$F$35,MOD(C6-支出計画!$D$35,支出計画!$E$35)=0),支出計画!$C$35,0)+IF(AND(C6&gt;=支出計画!$D$36,C6&lt;=支出計画!$F$36,MOD(C6-支出計画!$D$36,支出計画!$E$36)=0),支出計画!$C$36,0)+IF(C6=支出計画!$D$37,支出計画!$C$37,0)+IF(C6=支出計画!$D$38,支出計画!$C$38,0)</f>
        <v>0</v>
      </c>
      <c r="X6" s="172">
        <f t="shared" si="2"/>
        <v>635.9452</v>
      </c>
      <c r="Y6" s="172">
        <f t="shared" si="3"/>
        <v>31.424800000000005</v>
      </c>
      <c r="Z6" s="172">
        <f>Z5*(1+金融資産!$C$15)+Y6</f>
        <v>1068.4991739999998</v>
      </c>
      <c r="AA6" s="1"/>
      <c r="AB6" s="1"/>
    </row>
    <row r="7" spans="1:28" ht="15" customHeight="1">
      <c r="A7" s="1"/>
      <c r="B7" s="167">
        <v>3</v>
      </c>
      <c r="C7" s="168">
        <f>基本情報!$C$3+B7-1</f>
        <v>2024</v>
      </c>
      <c r="D7" s="200">
        <f>IF(基本情報!$D$6="","",C7-YEAR(基本情報!$D$6)-IF(OR(MONTH(基本情報!$D$6)&gt;1,DAY(基本情報!$D$6)&gt;1),1,0))</f>
        <v>37</v>
      </c>
      <c r="E7" s="168">
        <f>IF(基本情報!$D$7="","",C7-YEAR(基本情報!$D$7)-IF(OR(MONTH(基本情報!$D$7)&gt;1,DAY(基本情報!$D$7)&gt;1),1,0))</f>
        <v>36</v>
      </c>
      <c r="F7" s="169">
        <f>IF(OR(基本情報!$D$8="",C7&lt;=YEAR(基本情報!$D$8)),"",MAX(0,C7-YEAR(基本情報!$D$8)-IF(OR(MONTH(基本情報!$D$8)&gt;1,DAY(基本情報!$D$8)&gt;1),1,0)))</f>
        <v>5</v>
      </c>
      <c r="G7" s="169">
        <f>IF(OR(基本情報!$D$9="",C7&lt;=YEAR(基本情報!$D$9)),"",MAX(0,C7-YEAR(基本情報!$D$9)-IF(OR(MONTH(基本情報!$D$9)&gt;1,DAY(基本情報!$D$9)&gt;1),1,0)))</f>
        <v>3</v>
      </c>
      <c r="H7" s="169" t="str">
        <f>IF(OR(基本情報!$D$10="",C7&lt;=YEAR(基本情報!$D$10)),"",MAX(0,C7-YEAR(基本情報!$D$10)-IF(OR(MONTH(基本情報!$D$10)&gt;1,DAY(基本情報!$D$10)&gt;1),1,0)))</f>
        <v/>
      </c>
      <c r="I7" s="169" t="str">
        <f>IF(OR(基本情報!$D$11="",C7&lt;=YEAR(基本情報!$D$11)),"",MAX(0,C7-YEAR(基本情報!$D$11)-IF(OR(MONTH(基本情報!$D$11)&gt;1,DAY(基本情報!$D$11)&gt;1),1,0)))</f>
        <v/>
      </c>
      <c r="J7" s="169" t="str">
        <f>IF(OR(基本情報!$D$12="",C7&lt;=YEAR(基本情報!$D$12)),"",MAX(0,C7-YEAR(基本情報!$D$12)-IF(OR(MONTH(基本情報!$D$12)&gt;1,DAY(基本情報!$D$12)&gt;1),1,0)))</f>
        <v/>
      </c>
      <c r="K7" s="197">
        <f>IF(D7="","",IF(D7&lt;基本情報!$C$15,MAX(0,収入計画!$D$5*(1+収入計画!$E$5)^(B7-1)),IF(AND(D7&gt;=基本情報!$C$15,D7&lt;基本情報!$C$20),MAX(0,基本情報!$C$19*(収入計画!$D$5/収入計画!$C$5)),0)))</f>
        <v>403.95960000000002</v>
      </c>
      <c r="L7" s="170">
        <f>IF(E7="","",IF(E7&lt;基本情報!$D$15,IF(E7&lt;MAX(収入計画!$C$11,収入計画!$C$14,収入計画!$C$17,収入計画!$C$20,収入計画!$C$23),MAX(0,収入計画!$D$6*0.5*(1+収入計画!$E$6)^(B7-1)),MAX(0,収入計画!$D$6*(1+収入計画!$E$6)^(B7-1))),IF(AND(E7&gt;=基本情報!$D$15,E7&lt;基本情報!$D$20),MAX(0,基本情報!$D$19*(収入計画!$D$6/収入計画!$C$6)),0)))</f>
        <v>245.8441</v>
      </c>
      <c r="M7" s="170">
        <f>IF(OR(D7="",E7=""),"",IF(D7=基本情報!$C$15,基本情報!$C$16,0)+IF(E7=基本情報!$D$15,基本情報!$D$16,0))</f>
        <v>0</v>
      </c>
      <c r="N7" s="170" t="str">
        <f>IF(D7="","",IF(OR(D7&gt;=基本情報!$C$17,E7&gt;=基本情報!$D$17),MAX(0,IF(D7&gt;=基本情報!$C$17,基本情報!$C$18*12,0)+IF(AND(E7&lt;&gt;"",E7&gt;=基本情報!$D$17),基本情報!$D$18*12,0)),""))</f>
        <v/>
      </c>
      <c r="O7" s="170">
        <f t="shared" si="0"/>
        <v>24</v>
      </c>
      <c r="P7" s="205">
        <f t="shared" si="1"/>
        <v>673.80370000000005</v>
      </c>
      <c r="Q7" s="170">
        <f>IF(D7&lt;基本情報!$C$17,支出計画!$C$5*(1+支出計画!$D$5)^(B7-1),支出計画!$C$6*(1+支出計画!$D$6)^(D7-基本情報!$C$17))-IF(AND(F7&gt;=22,F7&lt;&gt;""),支出計画!$C$45,0)</f>
        <v>306.03000000000003</v>
      </c>
      <c r="R7" s="170">
        <f>IF(C7&lt;住宅ローン償還表!$C$9,支出計画!$C$7,0)</f>
        <v>0</v>
      </c>
      <c r="S7" s="170">
        <f>IFERROR(VLOOKUP(C7,住宅ローン償還表!$C$17:$H$46,6,FALSE()),0)</f>
        <v>181.70519999999999</v>
      </c>
      <c r="T7" s="194">
        <f>(IF(ライフイベント表!F6="",0,IF(AND(ライフイベント表!F6&gt;=0,ライフイベント表!F6&lt;=5),支出計画!$D$24,IF(AND(ライフイベント表!F6&gt;=6,ライフイベント表!F6&lt;=11),支出計画!$D$25,IF(AND(ライフイベント表!F6&gt;=12,ライフイベント表!F6&lt;=14),支出計画!$D$26,IF(AND(ライフイベント表!F6&gt;=15,ライフイベント表!F6&lt;=17),支出計画!$D$27,IF(ライフイベント表!F6=18,支出計画!$D$28,IF(AND(ライフイベント表!F6&gt;=19,ライフイベント表!F6&lt;=21),支出計画!$D$29,0)))))))+IF(ライフイベント表!G6="",0,IF(AND(ライフイベント表!G6&gt;=0,ライフイベント表!G6&lt;=5),支出計画!$D$24,IF(AND(ライフイベント表!G6&gt;=6,ライフイベント表!G6&lt;=11),支出計画!$D$25,IF(AND(ライフイベント表!G6&gt;=12,ライフイベント表!G6&lt;=14),支出計画!$D$26,IF(AND(ライフイベント表!G6&gt;=15,ライフイベント表!G6&lt;=17),支出計画!$D$27,IF(ライフイベント表!G6=18,支出計画!$D$28,IF(AND(ライフイベント表!G6&gt;=19,ライフイベント表!G6&lt;=21),支出計画!$D$29,0)))))))+IF(ライフイベント表!H6="",0,IF(AND(ライフイベント表!H6&gt;=0,ライフイベント表!H6&lt;=5),支出計画!$D$24,IF(AND(ライフイベント表!H6&gt;=6,ライフイベント表!H6&lt;=11),支出計画!$D$25,IF(AND(ライフイベント表!H6&gt;=12,ライフイベント表!H6&lt;=14),支出計画!$D$26,IF(AND(ライフイベント表!H6&gt;=15,ライフイベント表!H6&lt;=17),支出計画!$D$27,IF(ライフイベント表!H6=18,支出計画!$D$28,IF(AND(ライフイベント表!H6&gt;=19,ライフイベント表!H6&lt;=21),支出計画!$D$29,0)))))))+IF(ライフイベント表!I6="",0,IF(AND(ライフイベント表!I6&gt;=0,ライフイベント表!I6&lt;=5),支出計画!$D$24,IF(AND(ライフイベント表!I6&gt;=6,ライフイベント表!I6&lt;=11),支出計画!$D$25,IF(AND(ライフイベント表!I6&gt;=12,ライフイベント表!I6&lt;=14),支出計画!$D$26,IF(AND(ライフイベント表!I6&gt;=15,ライフイベント表!I6&lt;=17),支出計画!$D$27,IF(ライフイベント表!I6=18,支出計画!$D$28,IF(AND(ライフイベント表!I6&gt;=19,ライフイベント表!I6&lt;=21),支出計画!$D$29,0)))))))+IF(ライフイベント表!J6="",0,IF(AND(ライフイベント表!J6&gt;=0,ライフイベント表!J6&lt;=5),支出計画!$D$24,IF(AND(ライフイベント表!J6&gt;=6,ライフイベント表!J6&lt;=11),支出計画!$D$25,IF(AND(ライフイベント表!J6&gt;=12,ライフイベント表!J6&lt;=14),支出計画!$D$26,IF(AND(ライフイベント表!J6&gt;=15,ライフイベント表!J6&lt;=17),支出計画!$D$27,IF(ライフイベント表!J6=18,支出計画!$D$28,IF(AND(ライフイベント表!J6&gt;=19,ライフイベント表!J6&lt;=21),支出計画!$D$29,0))))))))*POWER(1.02,B7-1)</f>
        <v>70.747199999999992</v>
      </c>
      <c r="U7" s="170">
        <f>SUMPRODUCT((保険!$G$5:$G$12&lt;=C7)*(保険!$H$5:$H$12&gt;=C7)*保険!$F$5:$F$12)</f>
        <v>45.88</v>
      </c>
      <c r="V7" s="170">
        <f>支出計画!$C$9</f>
        <v>36</v>
      </c>
      <c r="W7" s="170">
        <f>IF(AND(C7&gt;=支出計画!$D$35,C7&lt;=支出計画!$F$35,MOD(C7-支出計画!$D$35,支出計画!$E$35)=0),支出計画!$C$35,0)+IF(AND(C7&gt;=支出計画!$D$36,C7&lt;=支出計画!$F$36,MOD(C7-支出計画!$D$36,支出計画!$E$36)=0),支出計画!$C$36,0)+IF(C7=支出計画!$D$37,支出計画!$C$37,0)+IF(C7=支出計画!$D$38,支出計画!$C$38,0)</f>
        <v>200</v>
      </c>
      <c r="X7" s="172">
        <f t="shared" si="2"/>
        <v>840.36239999999998</v>
      </c>
      <c r="Y7" s="172">
        <f t="shared" si="3"/>
        <v>-166.55869999999993</v>
      </c>
      <c r="Z7" s="172">
        <f>Z6*(1+金融資産!$C$15)+Y7</f>
        <v>907.28296986999987</v>
      </c>
      <c r="AA7" s="1"/>
      <c r="AB7" s="1"/>
    </row>
    <row r="8" spans="1:28" ht="15" customHeight="1">
      <c r="A8" s="1"/>
      <c r="B8" s="167">
        <v>4</v>
      </c>
      <c r="C8" s="168">
        <f>基本情報!$C$3+B8-1</f>
        <v>2025</v>
      </c>
      <c r="D8" s="200">
        <f>IF(基本情報!$D$6="","",C8-YEAR(基本情報!$D$6)-IF(OR(MONTH(基本情報!$D$6)&gt;1,DAY(基本情報!$D$6)&gt;1),1,0))</f>
        <v>38</v>
      </c>
      <c r="E8" s="168">
        <f>IF(基本情報!$D$7="","",C8-YEAR(基本情報!$D$7)-IF(OR(MONTH(基本情報!$D$7)&gt;1,DAY(基本情報!$D$7)&gt;1),1,0))</f>
        <v>37</v>
      </c>
      <c r="F8" s="169">
        <f>IF(OR(基本情報!$D$8="",C8&lt;=YEAR(基本情報!$D$8)),"",MAX(0,C8-YEAR(基本情報!$D$8)-IF(OR(MONTH(基本情報!$D$8)&gt;1,DAY(基本情報!$D$8)&gt;1),1,0)))</f>
        <v>6</v>
      </c>
      <c r="G8" s="169">
        <f>IF(OR(基本情報!$D$9="",C8&lt;=YEAR(基本情報!$D$9)),"",MAX(0,C8-YEAR(基本情報!$D$9)-IF(OR(MONTH(基本情報!$D$9)&gt;1,DAY(基本情報!$D$9)&gt;1),1,0)))</f>
        <v>4</v>
      </c>
      <c r="H8" s="169" t="str">
        <f>IF(OR(基本情報!$D$10="",C8&lt;=YEAR(基本情報!$D$10)),"",MAX(0,C8-YEAR(基本情報!$D$10)-IF(OR(MONTH(基本情報!$D$10)&gt;1,DAY(基本情報!$D$10)&gt;1),1,0)))</f>
        <v/>
      </c>
      <c r="I8" s="169" t="str">
        <f>IF(OR(基本情報!$D$11="",C8&lt;=YEAR(基本情報!$D$11)),"",MAX(0,C8-YEAR(基本情報!$D$11)-IF(OR(MONTH(基本情報!$D$11)&gt;1,DAY(基本情報!$D$11)&gt;1),1,0)))</f>
        <v/>
      </c>
      <c r="J8" s="169" t="str">
        <f>IF(OR(基本情報!$D$12="",C8&lt;=YEAR(基本情報!$D$12)),"",MAX(0,C8-YEAR(基本情報!$D$12)-IF(OR(MONTH(基本情報!$D$12)&gt;1,DAY(基本情報!$D$12)&gt;1),1,0)))</f>
        <v/>
      </c>
      <c r="K8" s="197">
        <f>IF(D8="","",IF(D8&lt;基本情報!$C$15,MAX(0,収入計画!$D$5*(1+収入計画!$E$5)^(B8-1)),IF(AND(D8&gt;=基本情報!$C$15,D8&lt;基本情報!$C$20),MAX(0,基本情報!$C$19*(収入計画!$D$5/収入計画!$C$5)),0)))</f>
        <v>407.99919599999998</v>
      </c>
      <c r="L8" s="170">
        <f>IF(E8="","",IF(E8&lt;基本情報!$D$15,IF(E8&lt;MAX(収入計画!$C$11,収入計画!$C$14,収入計画!$C$17,収入計画!$C$20,収入計画!$C$23),MAX(0,収入計画!$D$6*0.5*(1+収入計画!$E$6)^(B8-1)),MAX(0,収入計画!$D$6*(1+収入計画!$E$6)^(B8-1))),IF(AND(E8&gt;=基本情報!$D$15,E8&lt;基本情報!$D$20),MAX(0,基本情報!$D$19*(収入計画!$D$6/収入計画!$C$6)),0)))</f>
        <v>248.30254099999999</v>
      </c>
      <c r="M8" s="170">
        <f>IF(OR(D8="",E8=""),"",IF(D8=基本情報!$C$15,基本情報!$C$16,0)+IF(E8=基本情報!$D$15,基本情報!$D$16,0))</f>
        <v>0</v>
      </c>
      <c r="N8" s="170" t="str">
        <f>IF(D8="","",IF(OR(D8&gt;=基本情報!$C$17,E8&gt;=基本情報!$D$17),MAX(0,IF(D8&gt;=基本情報!$C$17,基本情報!$C$18*12,0)+IF(AND(E8&lt;&gt;"",E8&gt;=基本情報!$D$17),基本情報!$D$18*12,0)),""))</f>
        <v/>
      </c>
      <c r="O8" s="170">
        <f t="shared" si="0"/>
        <v>24</v>
      </c>
      <c r="P8" s="205">
        <f t="shared" si="1"/>
        <v>680.301737</v>
      </c>
      <c r="Q8" s="170">
        <f>IF(D8&lt;基本情報!$C$17,支出計画!$C$5*(1+支出計画!$D$5)^(B8-1),支出計画!$C$6*(1+支出計画!$D$6)^(D8-基本情報!$C$17))-IF(AND(F8&gt;=22,F8&lt;&gt;""),支出計画!$C$45,0)</f>
        <v>309.09029999999996</v>
      </c>
      <c r="R8" s="170">
        <f>IF(C8&lt;住宅ローン償還表!$C$9,支出計画!$C$7,0)</f>
        <v>0</v>
      </c>
      <c r="S8" s="170">
        <f>IFERROR(VLOOKUP(C8,住宅ローン償還表!$C$17:$H$46,6,FALSE()),0)</f>
        <v>181.70519999999999</v>
      </c>
      <c r="T8" s="194">
        <f>(IF(ライフイベント表!F7="",0,IF(AND(ライフイベント表!F7&gt;=0,ライフイベント表!F7&lt;=5),支出計画!$D$24,IF(AND(ライフイベント表!F7&gt;=6,ライフイベント表!F7&lt;=11),支出計画!$D$25,IF(AND(ライフイベント表!F7&gt;=12,ライフイベント表!F7&lt;=14),支出計画!$D$26,IF(AND(ライフイベント表!F7&gt;=15,ライフイベント表!F7&lt;=17),支出計画!$D$27,IF(ライフイベント表!F7=18,支出計画!$D$28,IF(AND(ライフイベント表!F7&gt;=19,ライフイベント表!F7&lt;=21),支出計画!$D$29,0)))))))+IF(ライフイベント表!G7="",0,IF(AND(ライフイベント表!G7&gt;=0,ライフイベント表!G7&lt;=5),支出計画!$D$24,IF(AND(ライフイベント表!G7&gt;=6,ライフイベント表!G7&lt;=11),支出計画!$D$25,IF(AND(ライフイベント表!G7&gt;=12,ライフイベント表!G7&lt;=14),支出計画!$D$26,IF(AND(ライフイベント表!G7&gt;=15,ライフイベント表!G7&lt;=17),支出計画!$D$27,IF(ライフイベント表!G7=18,支出計画!$D$28,IF(AND(ライフイベント表!G7&gt;=19,ライフイベント表!G7&lt;=21),支出計画!$D$29,0)))))))+IF(ライフイベント表!H7="",0,IF(AND(ライフイベント表!H7&gt;=0,ライフイベント表!H7&lt;=5),支出計画!$D$24,IF(AND(ライフイベント表!H7&gt;=6,ライフイベント表!H7&lt;=11),支出計画!$D$25,IF(AND(ライフイベント表!H7&gt;=12,ライフイベント表!H7&lt;=14),支出計画!$D$26,IF(AND(ライフイベント表!H7&gt;=15,ライフイベント表!H7&lt;=17),支出計画!$D$27,IF(ライフイベント表!H7=18,支出計画!$D$28,IF(AND(ライフイベント表!H7&gt;=19,ライフイベント表!H7&lt;=21),支出計画!$D$29,0)))))))+IF(ライフイベント表!I7="",0,IF(AND(ライフイベント表!I7&gt;=0,ライフイベント表!I7&lt;=5),支出計画!$D$24,IF(AND(ライフイベント表!I7&gt;=6,ライフイベント表!I7&lt;=11),支出計画!$D$25,IF(AND(ライフイベント表!I7&gt;=12,ライフイベント表!I7&lt;=14),支出計画!$D$26,IF(AND(ライフイベント表!I7&gt;=15,ライフイベント表!I7&lt;=17),支出計画!$D$27,IF(ライフイベント表!I7=18,支出計画!$D$28,IF(AND(ライフイベント表!I7&gt;=19,ライフイベント表!I7&lt;=21),支出計画!$D$29,0)))))))+IF(ライフイベント表!J7="",0,IF(AND(ライフイベント表!J7&gt;=0,ライフイベント表!J7&lt;=5),支出計画!$D$24,IF(AND(ライフイベント表!J7&gt;=6,ライフイベント表!J7&lt;=11),支出計画!$D$25,IF(AND(ライフイベント表!J7&gt;=12,ライフイベント表!J7&lt;=14),支出計画!$D$26,IF(AND(ライフイベント表!J7&gt;=15,ライフイベント表!J7&lt;=17),支出計画!$D$27,IF(ライフイベント表!J7=18,支出計画!$D$28,IF(AND(ライフイベント表!J7&gt;=19,ライフイベント表!J7&lt;=21),支出計画!$D$29,0))))))))*POWER(1.02,B8-1)</f>
        <v>70.039727999999997</v>
      </c>
      <c r="U8" s="170">
        <f>SUMPRODUCT((保険!$G$5:$G$12&lt;=C8)*(保険!$H$5:$H$12&gt;=C8)*保険!$F$5:$F$12)</f>
        <v>45.88</v>
      </c>
      <c r="V8" s="170">
        <f>支出計画!$C$9</f>
        <v>36</v>
      </c>
      <c r="W8" s="170">
        <f>IF(AND(C8&gt;=支出計画!$D$35,C8&lt;=支出計画!$F$35,MOD(C8-支出計画!$D$35,支出計画!$E$35)=0),支出計画!$C$35,0)+IF(AND(C8&gt;=支出計画!$D$36,C8&lt;=支出計画!$F$36,MOD(C8-支出計画!$D$36,支出計画!$E$36)=0),支出計画!$C$36,0)+IF(C8=支出計画!$D$37,支出計画!$C$37,0)+IF(C8=支出計画!$D$38,支出計画!$C$38,0)</f>
        <v>0</v>
      </c>
      <c r="X8" s="172">
        <f t="shared" si="2"/>
        <v>642.71522799999991</v>
      </c>
      <c r="Y8" s="172">
        <f t="shared" si="3"/>
        <v>37.586509000000092</v>
      </c>
      <c r="Z8" s="172">
        <f>Z7*(1+金融資産!$C$15)+Y8</f>
        <v>949.40589371934982</v>
      </c>
      <c r="AA8" s="1"/>
      <c r="AB8" s="1"/>
    </row>
    <row r="9" spans="1:28" ht="15" customHeight="1">
      <c r="A9" s="1"/>
      <c r="B9" s="167">
        <v>5</v>
      </c>
      <c r="C9" s="168">
        <f>基本情報!$C$3+B9-1</f>
        <v>2026</v>
      </c>
      <c r="D9" s="200">
        <f>IF(基本情報!$D$6="","",C9-YEAR(基本情報!$D$6)-IF(OR(MONTH(基本情報!$D$6)&gt;1,DAY(基本情報!$D$6)&gt;1),1,0))</f>
        <v>39</v>
      </c>
      <c r="E9" s="168">
        <f>IF(基本情報!$D$7="","",C9-YEAR(基本情報!$D$7)-IF(OR(MONTH(基本情報!$D$7)&gt;1,DAY(基本情報!$D$7)&gt;1),1,0))</f>
        <v>38</v>
      </c>
      <c r="F9" s="169">
        <f>IF(OR(基本情報!$D$8="",C9&lt;=YEAR(基本情報!$D$8)),"",MAX(0,C9-YEAR(基本情報!$D$8)-IF(OR(MONTH(基本情報!$D$8)&gt;1,DAY(基本情報!$D$8)&gt;1),1,0)))</f>
        <v>7</v>
      </c>
      <c r="G9" s="169">
        <f>IF(OR(基本情報!$D$9="",C9&lt;=YEAR(基本情報!$D$9)),"",MAX(0,C9-YEAR(基本情報!$D$9)-IF(OR(MONTH(基本情報!$D$9)&gt;1,DAY(基本情報!$D$9)&gt;1),1,0)))</f>
        <v>5</v>
      </c>
      <c r="H9" s="169" t="str">
        <f>IF(OR(基本情報!$D$10="",C9&lt;=YEAR(基本情報!$D$10)),"",MAX(0,C9-YEAR(基本情報!$D$10)-IF(OR(MONTH(基本情報!$D$10)&gt;1,DAY(基本情報!$D$10)&gt;1),1,0)))</f>
        <v/>
      </c>
      <c r="I9" s="169" t="str">
        <f>IF(OR(基本情報!$D$11="",C9&lt;=YEAR(基本情報!$D$11)),"",MAX(0,C9-YEAR(基本情報!$D$11)-IF(OR(MONTH(基本情報!$D$11)&gt;1,DAY(基本情報!$D$11)&gt;1),1,0)))</f>
        <v/>
      </c>
      <c r="J9" s="169" t="str">
        <f>IF(OR(基本情報!$D$12="",C9&lt;=YEAR(基本情報!$D$12)),"",MAX(0,C9-YEAR(基本情報!$D$12)-IF(OR(MONTH(基本情報!$D$12)&gt;1,DAY(基本情報!$D$12)&gt;1),1,0)))</f>
        <v/>
      </c>
      <c r="K9" s="197">
        <f>IF(D9="","",IF(D9&lt;基本情報!$C$15,MAX(0,収入計画!$D$5*(1+収入計画!$E$5)^(B9-1)),IF(AND(D9&gt;=基本情報!$C$15,D9&lt;基本情報!$C$20),MAX(0,基本情報!$C$19*(収入計画!$D$5/収入計画!$C$5)),0)))</f>
        <v>412.07918796000001</v>
      </c>
      <c r="L9" s="170">
        <f>IF(E9="","",IF(E9&lt;基本情報!$D$15,IF(E9&lt;MAX(収入計画!$C$11,収入計画!$C$14,収入計画!$C$17,収入計画!$C$20,収入計画!$C$23),MAX(0,収入計画!$D$6*0.5*(1+収入計画!$E$6)^(B9-1)),MAX(0,収入計画!$D$6*(1+収入計画!$E$6)^(B9-1))),IF(AND(E9&gt;=基本情報!$D$15,E9&lt;基本情報!$D$20),MAX(0,基本情報!$D$19*(収入計画!$D$6/収入計画!$C$6)),0)))</f>
        <v>250.78556641</v>
      </c>
      <c r="M9" s="170">
        <f>IF(OR(D9="",E9=""),"",IF(D9=基本情報!$C$15,基本情報!$C$16,0)+IF(E9=基本情報!$D$15,基本情報!$D$16,0))</f>
        <v>0</v>
      </c>
      <c r="N9" s="170" t="str">
        <f>IF(D9="","",IF(OR(D9&gt;=基本情報!$C$17,E9&gt;=基本情報!$D$17),MAX(0,IF(D9&gt;=基本情報!$C$17,基本情報!$C$18*12,0)+IF(AND(E9&lt;&gt;"",E9&gt;=基本情報!$D$17),基本情報!$D$18*12,0)),""))</f>
        <v/>
      </c>
      <c r="O9" s="170">
        <f t="shared" si="0"/>
        <v>24</v>
      </c>
      <c r="P9" s="205">
        <f t="shared" si="1"/>
        <v>686.86475437000001</v>
      </c>
      <c r="Q9" s="170">
        <f>IF(D9&lt;基本情報!$C$17,支出計画!$C$5*(1+支出計画!$D$5)^(B9-1),支出計画!$C$6*(1+支出計画!$D$6)^(D9-基本情報!$C$17))-IF(AND(F9&gt;=22,F9&lt;&gt;""),支出計画!$C$45,0)</f>
        <v>312.18120299999998</v>
      </c>
      <c r="R9" s="170">
        <f>IF(C9&lt;住宅ローン償還表!$C$9,支出計画!$C$7,0)</f>
        <v>0</v>
      </c>
      <c r="S9" s="170">
        <f>IFERROR(VLOOKUP(C9,住宅ローン償還表!$C$17:$H$46,6,FALSE()),0)</f>
        <v>181.70519999999999</v>
      </c>
      <c r="T9" s="194">
        <f>(IF(ライフイベント表!F8="",0,IF(AND(ライフイベント表!F8&gt;=0,ライフイベント表!F8&lt;=5),支出計画!$D$24,IF(AND(ライフイベント表!F8&gt;=6,ライフイベント表!F8&lt;=11),支出計画!$D$25,IF(AND(ライフイベント表!F8&gt;=12,ライフイベント表!F8&lt;=14),支出計画!$D$26,IF(AND(ライフイベント表!F8&gt;=15,ライフイベント表!F8&lt;=17),支出計画!$D$27,IF(ライフイベント表!F8=18,支出計画!$D$28,IF(AND(ライフイベント表!F8&gt;=19,ライフイベント表!F8&lt;=21),支出計画!$D$29,0)))))))+IF(ライフイベント表!G8="",0,IF(AND(ライフイベント表!G8&gt;=0,ライフイベント表!G8&lt;=5),支出計画!$D$24,IF(AND(ライフイベント表!G8&gt;=6,ライフイベント表!G8&lt;=11),支出計画!$D$25,IF(AND(ライフイベント表!G8&gt;=12,ライフイベント表!G8&lt;=14),支出計画!$D$26,IF(AND(ライフイベント表!G8&gt;=15,ライフイベント表!G8&lt;=17),支出計画!$D$27,IF(ライフイベント表!G8=18,支出計画!$D$28,IF(AND(ライフイベント表!G8&gt;=19,ライフイベント表!G8&lt;=21),支出計画!$D$29,0)))))))+IF(ライフイベント表!H8="",0,IF(AND(ライフイベント表!H8&gt;=0,ライフイベント表!H8&lt;=5),支出計画!$D$24,IF(AND(ライフイベント表!H8&gt;=6,ライフイベント表!H8&lt;=11),支出計画!$D$25,IF(AND(ライフイベント表!H8&gt;=12,ライフイベント表!H8&lt;=14),支出計画!$D$26,IF(AND(ライフイベント表!H8&gt;=15,ライフイベント表!H8&lt;=17),支出計画!$D$27,IF(ライフイベント表!H8=18,支出計画!$D$28,IF(AND(ライフイベント表!H8&gt;=19,ライフイベント表!H8&lt;=21),支出計画!$D$29,0)))))))+IF(ライフイベント表!I8="",0,IF(AND(ライフイベント表!I8&gt;=0,ライフイベント表!I8&lt;=5),支出計画!$D$24,IF(AND(ライフイベント表!I8&gt;=6,ライフイベント表!I8&lt;=11),支出計画!$D$25,IF(AND(ライフイベント表!I8&gt;=12,ライフイベント表!I8&lt;=14),支出計画!$D$26,IF(AND(ライフイベント表!I8&gt;=15,ライフイベント表!I8&lt;=17),支出計画!$D$27,IF(ライフイベント表!I8=18,支出計画!$D$28,IF(AND(ライフイベント表!I8&gt;=19,ライフイベント表!I8&lt;=21),支出計画!$D$29,0)))))))+IF(ライフイベント表!J8="",0,IF(AND(ライフイベント表!J8&gt;=0,ライフイベント表!J8&lt;=5),支出計画!$D$24,IF(AND(ライフイベント表!J8&gt;=6,ライフイベント表!J8&lt;=11),支出計画!$D$25,IF(AND(ライフイベント表!J8&gt;=12,ライフイベント表!J8&lt;=14),支出計画!$D$26,IF(AND(ライフイベント表!J8&gt;=15,ライフイベント表!J8&lt;=17),支出計画!$D$27,IF(ライフイベント表!J8=18,支出計画!$D$28,IF(AND(ライフイベント表!J8&gt;=19,ライフイベント表!J8&lt;=21),支出計画!$D$29,0))))))))*POWER(1.02,B9-1)</f>
        <v>71.440522560000005</v>
      </c>
      <c r="U9" s="170">
        <f>SUMPRODUCT((保険!$G$5:$G$12&lt;=C9)*(保険!$H$5:$H$12&gt;=C9)*保険!$F$5:$F$12)</f>
        <v>45.88</v>
      </c>
      <c r="V9" s="170">
        <f>支出計画!$C$9</f>
        <v>36</v>
      </c>
      <c r="W9" s="170">
        <f>IF(AND(C9&gt;=支出計画!$D$35,C9&lt;=支出計画!$F$35,MOD(C9-支出計画!$D$35,支出計画!$E$35)=0),支出計画!$C$35,0)+IF(AND(C9&gt;=支出計画!$D$36,C9&lt;=支出計画!$F$36,MOD(C9-支出計画!$D$36,支出計画!$E$36)=0),支出計画!$C$36,0)+IF(C9=支出計画!$D$37,支出計画!$C$37,0)+IF(C9=支出計画!$D$38,支出計画!$C$38,0)</f>
        <v>70</v>
      </c>
      <c r="X9" s="172">
        <f t="shared" si="2"/>
        <v>717.20692555999995</v>
      </c>
      <c r="Y9" s="172">
        <f t="shared" si="3"/>
        <v>-30.342171189999931</v>
      </c>
      <c r="Z9" s="172">
        <f>Z8*(1+金融資産!$C$15)+Y9</f>
        <v>923.81075199794657</v>
      </c>
      <c r="AA9" s="1"/>
      <c r="AB9" s="1"/>
    </row>
    <row r="10" spans="1:28" ht="15" customHeight="1">
      <c r="A10" s="1"/>
      <c r="B10" s="167">
        <v>6</v>
      </c>
      <c r="C10" s="168">
        <f>基本情報!$C$3+B10-1</f>
        <v>2027</v>
      </c>
      <c r="D10" s="200">
        <f>IF(基本情報!$D$6="","",C10-YEAR(基本情報!$D$6)-IF(OR(MONTH(基本情報!$D$6)&gt;1,DAY(基本情報!$D$6)&gt;1),1,0))</f>
        <v>40</v>
      </c>
      <c r="E10" s="168">
        <f>IF(基本情報!$D$7="","",C10-YEAR(基本情報!$D$7)-IF(OR(MONTH(基本情報!$D$7)&gt;1,DAY(基本情報!$D$7)&gt;1),1,0))</f>
        <v>39</v>
      </c>
      <c r="F10" s="169">
        <f>IF(OR(基本情報!$D$8="",C10&lt;=YEAR(基本情報!$D$8)),"",MAX(0,C10-YEAR(基本情報!$D$8)-IF(OR(MONTH(基本情報!$D$8)&gt;1,DAY(基本情報!$D$8)&gt;1),1,0)))</f>
        <v>8</v>
      </c>
      <c r="G10" s="169">
        <f>IF(OR(基本情報!$D$9="",C10&lt;=YEAR(基本情報!$D$9)),"",MAX(0,C10-YEAR(基本情報!$D$9)-IF(OR(MONTH(基本情報!$D$9)&gt;1,DAY(基本情報!$D$9)&gt;1),1,0)))</f>
        <v>6</v>
      </c>
      <c r="H10" s="169" t="str">
        <f>IF(OR(基本情報!$D$10="",C10&lt;=YEAR(基本情報!$D$10)),"",MAX(0,C10-YEAR(基本情報!$D$10)-IF(OR(MONTH(基本情報!$D$10)&gt;1,DAY(基本情報!$D$10)&gt;1),1,0)))</f>
        <v/>
      </c>
      <c r="I10" s="169" t="str">
        <f>IF(OR(基本情報!$D$11="",C10&lt;=YEAR(基本情報!$D$11)),"",MAX(0,C10-YEAR(基本情報!$D$11)-IF(OR(MONTH(基本情報!$D$11)&gt;1,DAY(基本情報!$D$11)&gt;1),1,0)))</f>
        <v/>
      </c>
      <c r="J10" s="169" t="str">
        <f>IF(OR(基本情報!$D$12="",C10&lt;=YEAR(基本情報!$D$12)),"",MAX(0,C10-YEAR(基本情報!$D$12)-IF(OR(MONTH(基本情報!$D$12)&gt;1,DAY(基本情報!$D$12)&gt;1),1,0)))</f>
        <v/>
      </c>
      <c r="K10" s="197">
        <f>IF(D10="","",IF(D10&lt;基本情報!$C$15,MAX(0,収入計画!$D$5*(1+収入計画!$E$5)^(B10-1)),IF(AND(D10&gt;=基本情報!$C$15,D10&lt;基本情報!$C$20),MAX(0,基本情報!$C$19*(収入計画!$D$5/収入計画!$C$5)),0)))</f>
        <v>416.19997983959996</v>
      </c>
      <c r="L10" s="170">
        <f>IF(E10="","",IF(E10&lt;基本情報!$D$15,IF(E10&lt;MAX(収入計画!$C$11,収入計画!$C$14,収入計画!$C$17,収入計画!$C$20,収入計画!$C$23),MAX(0,収入計画!$D$6*0.5*(1+収入計画!$E$6)^(B10-1)),MAX(0,収入計画!$D$6*(1+収入計画!$E$6)^(B10-1))),IF(AND(E10&gt;=基本情報!$D$15,E10&lt;基本情報!$D$20),MAX(0,基本情報!$D$19*(収入計画!$D$6/収入計画!$C$6)),0)))</f>
        <v>253.29342207409999</v>
      </c>
      <c r="M10" s="170">
        <f>IF(OR(D10="",E10=""),"",IF(D10=基本情報!$C$15,基本情報!$C$16,0)+IF(E10=基本情報!$D$15,基本情報!$D$16,0))</f>
        <v>0</v>
      </c>
      <c r="N10" s="170" t="str">
        <f>IF(D10="","",IF(OR(D10&gt;=基本情報!$C$17,E10&gt;=基本情報!$D$17),MAX(0,IF(D10&gt;=基本情報!$C$17,基本情報!$C$18*12,0)+IF(AND(E10&lt;&gt;"",E10&gt;=基本情報!$D$17),基本情報!$D$18*12,0)),""))</f>
        <v/>
      </c>
      <c r="O10" s="170">
        <f t="shared" si="0"/>
        <v>24</v>
      </c>
      <c r="P10" s="205">
        <f t="shared" si="1"/>
        <v>693.49340191369993</v>
      </c>
      <c r="Q10" s="170">
        <f>IF(D10&lt;基本情報!$C$17,支出計画!$C$5*(1+支出計画!$D$5)^(B10-1),支出計画!$C$6*(1+支出計画!$D$6)^(D10-基本情報!$C$17))-IF(AND(F10&gt;=22,F10&lt;&gt;""),支出計画!$C$45,0)</f>
        <v>315.30301502999998</v>
      </c>
      <c r="R10" s="170">
        <f>IF(C10&lt;住宅ローン償還表!$C$9,支出計画!$C$7,0)</f>
        <v>0</v>
      </c>
      <c r="S10" s="170">
        <f>IFERROR(VLOOKUP(C10,住宅ローン償還表!$C$17:$H$46,6,FALSE()),0)</f>
        <v>181.70519999999999</v>
      </c>
      <c r="T10" s="194">
        <f>(IF(ライフイベント表!F9="",0,IF(AND(ライフイベント表!F9&gt;=0,ライフイベント表!F9&lt;=5),支出計画!$D$24,IF(AND(ライフイベント表!F9&gt;=6,ライフイベント表!F9&lt;=11),支出計画!$D$25,IF(AND(ライフイベント表!F9&gt;=12,ライフイベント表!F9&lt;=14),支出計画!$D$26,IF(AND(ライフイベント表!F9&gt;=15,ライフイベント表!F9&lt;=17),支出計画!$D$27,IF(ライフイベント表!F9=18,支出計画!$D$28,IF(AND(ライフイベント表!F9&gt;=19,ライフイベント表!F9&lt;=21),支出計画!$D$29,0)))))))+IF(ライフイベント表!G9="",0,IF(AND(ライフイベント表!G9&gt;=0,ライフイベント表!G9&lt;=5),支出計画!$D$24,IF(AND(ライフイベント表!G9&gt;=6,ライフイベント表!G9&lt;=11),支出計画!$D$25,IF(AND(ライフイベント表!G9&gt;=12,ライフイベント表!G9&lt;=14),支出計画!$D$26,IF(AND(ライフイベント表!G9&gt;=15,ライフイベント表!G9&lt;=17),支出計画!$D$27,IF(ライフイベント表!G9=18,支出計画!$D$28,IF(AND(ライフイベント表!G9&gt;=19,ライフイベント表!G9&lt;=21),支出計画!$D$29,0)))))))+IF(ライフイベント表!H9="",0,IF(AND(ライフイベント表!H9&gt;=0,ライフイベント表!H9&lt;=5),支出計画!$D$24,IF(AND(ライフイベント表!H9&gt;=6,ライフイベント表!H9&lt;=11),支出計画!$D$25,IF(AND(ライフイベント表!H9&gt;=12,ライフイベント表!H9&lt;=14),支出計画!$D$26,IF(AND(ライフイベント表!H9&gt;=15,ライフイベント表!H9&lt;=17),支出計画!$D$27,IF(ライフイベント表!H9=18,支出計画!$D$28,IF(AND(ライフイベント表!H9&gt;=19,ライフイベント表!H9&lt;=21),支出計画!$D$29,0)))))))+IF(ライフイベント表!I9="",0,IF(AND(ライフイベント表!I9&gt;=0,ライフイベント表!I9&lt;=5),支出計画!$D$24,IF(AND(ライフイベント表!I9&gt;=6,ライフイベント表!I9&lt;=11),支出計画!$D$25,IF(AND(ライフイベント表!I9&gt;=12,ライフイベント表!I9&lt;=14),支出計画!$D$26,IF(AND(ライフイベント表!I9&gt;=15,ライフイベント表!I9&lt;=17),支出計画!$D$27,IF(ライフイベント表!I9=18,支出計画!$D$28,IF(AND(ライフイベント表!I9&gt;=19,ライフイベント表!I9&lt;=21),支出計画!$D$29,0)))))))+IF(ライフイベント表!J9="",0,IF(AND(ライフイベント表!J9&gt;=0,ライフイベント表!J9&lt;=5),支出計画!$D$24,IF(AND(ライフイベント表!J9&gt;=6,ライフイベント表!J9&lt;=11),支出計画!$D$25,IF(AND(ライフイベント表!J9&gt;=12,ライフイベント表!J9&lt;=14),支出計画!$D$26,IF(AND(ライフイベント表!J9&gt;=15,ライフイベント表!J9&lt;=17),支出計画!$D$27,IF(ライフイベント表!J9=18,支出計画!$D$28,IF(AND(ライフイベント表!J9&gt;=19,ライフイベント表!J9&lt;=21),支出計画!$D$29,0))))))))*POWER(1.02,B10-1)</f>
        <v>70.661171404800001</v>
      </c>
      <c r="U10" s="170">
        <f>SUMPRODUCT((保険!$G$5:$G$12&lt;=C10)*(保険!$H$5:$H$12&gt;=C10)*保険!$F$5:$F$12)</f>
        <v>52.120000000000005</v>
      </c>
      <c r="V10" s="170">
        <f>支出計画!$C$9</f>
        <v>36</v>
      </c>
      <c r="W10" s="170">
        <f>IF(AND(C10&gt;=支出計画!$D$35,C10&lt;=支出計画!$F$35,MOD(C10-支出計画!$D$35,支出計画!$E$35)=0),支出計画!$C$35,0)+IF(AND(C10&gt;=支出計画!$D$36,C10&lt;=支出計画!$F$36,MOD(C10-支出計画!$D$36,支出計画!$E$36)=0),支出計画!$C$36,0)+IF(C10=支出計画!$D$37,支出計画!$C$37,0)+IF(C10=支出計画!$D$38,支出計画!$C$38,0)</f>
        <v>0</v>
      </c>
      <c r="X10" s="172">
        <f t="shared" si="2"/>
        <v>655.78938643480001</v>
      </c>
      <c r="Y10" s="172">
        <f t="shared" si="3"/>
        <v>37.704015478899919</v>
      </c>
      <c r="Z10" s="172">
        <f>Z9*(1+金融資産!$C$15)+Y10</f>
        <v>966.13382123683607</v>
      </c>
      <c r="AA10" s="1"/>
      <c r="AB10" s="1"/>
    </row>
    <row r="11" spans="1:28" ht="15" customHeight="1">
      <c r="A11" s="1"/>
      <c r="B11" s="167">
        <v>7</v>
      </c>
      <c r="C11" s="168">
        <f>基本情報!$C$3+B11-1</f>
        <v>2028</v>
      </c>
      <c r="D11" s="200">
        <f>IF(基本情報!$D$6="","",C11-YEAR(基本情報!$D$6)-IF(OR(MONTH(基本情報!$D$6)&gt;1,DAY(基本情報!$D$6)&gt;1),1,0))</f>
        <v>41</v>
      </c>
      <c r="E11" s="168">
        <f>IF(基本情報!$D$7="","",C11-YEAR(基本情報!$D$7)-IF(OR(MONTH(基本情報!$D$7)&gt;1,DAY(基本情報!$D$7)&gt;1),1,0))</f>
        <v>40</v>
      </c>
      <c r="F11" s="169">
        <f>IF(OR(基本情報!$D$8="",C11&lt;=YEAR(基本情報!$D$8)),"",MAX(0,C11-YEAR(基本情報!$D$8)-IF(OR(MONTH(基本情報!$D$8)&gt;1,DAY(基本情報!$D$8)&gt;1),1,0)))</f>
        <v>9</v>
      </c>
      <c r="G11" s="169">
        <f>IF(OR(基本情報!$D$9="",C11&lt;=YEAR(基本情報!$D$9)),"",MAX(0,C11-YEAR(基本情報!$D$9)-IF(OR(MONTH(基本情報!$D$9)&gt;1,DAY(基本情報!$D$9)&gt;1),1,0)))</f>
        <v>7</v>
      </c>
      <c r="H11" s="169">
        <f>IF(OR(基本情報!$D$10="",C11&lt;=YEAR(基本情報!$D$10)),"",MAX(0,C11-YEAR(基本情報!$D$10)-IF(OR(MONTH(基本情報!$D$10)&gt;1,DAY(基本情報!$D$10)&gt;1),1,0)))</f>
        <v>0</v>
      </c>
      <c r="I11" s="169" t="str">
        <f>IF(OR(基本情報!$D$11="",C11&lt;=YEAR(基本情報!$D$11)),"",MAX(0,C11-YEAR(基本情報!$D$11)-IF(OR(MONTH(基本情報!$D$11)&gt;1,DAY(基本情報!$D$11)&gt;1),1,0)))</f>
        <v/>
      </c>
      <c r="J11" s="169" t="str">
        <f>IF(OR(基本情報!$D$12="",C11&lt;=YEAR(基本情報!$D$12)),"",MAX(0,C11-YEAR(基本情報!$D$12)-IF(OR(MONTH(基本情報!$D$12)&gt;1,DAY(基本情報!$D$12)&gt;1),1,0)))</f>
        <v/>
      </c>
      <c r="K11" s="197">
        <f>IF(D11="","",IF(D11&lt;基本情報!$C$15,MAX(0,収入計画!$D$5*(1+収入計画!$E$5)^(B11-1)),IF(AND(D11&gt;=基本情報!$C$15,D11&lt;基本情報!$C$20),MAX(0,基本情報!$C$19*(収入計画!$D$5/収入計画!$C$5)),0)))</f>
        <v>420.36197963799606</v>
      </c>
      <c r="L11" s="170">
        <f>IF(E11="","",IF(E11&lt;基本情報!$D$15,IF(E11&lt;MAX(収入計画!$C$11,収入計画!$C$14,収入計画!$C$17,収入計画!$C$20,収入計画!$C$23),MAX(0,収入計画!$D$6*0.5*(1+収入計画!$E$6)^(B11-1)),MAX(0,収入計画!$D$6*(1+収入計画!$E$6)^(B11-1))),IF(AND(E11&gt;=基本情報!$D$15,E11&lt;基本情報!$D$20),MAX(0,基本情報!$D$19*(収入計画!$D$6/収入計画!$C$6)),0)))</f>
        <v>255.82635629484102</v>
      </c>
      <c r="M11" s="170">
        <f>IF(OR(D11="",E11=""),"",IF(D11=基本情報!$C$15,基本情報!$C$16,0)+IF(E11=基本情報!$D$15,基本情報!$D$16,0))</f>
        <v>0</v>
      </c>
      <c r="N11" s="170" t="str">
        <f>IF(D11="","",IF(OR(D11&gt;=基本情報!$C$17,E11&gt;=基本情報!$D$17),MAX(0,IF(D11&gt;=基本情報!$C$17,基本情報!$C$18*12,0)+IF(AND(E11&lt;&gt;"",E11&gt;=基本情報!$D$17),基本情報!$D$18*12,0)),""))</f>
        <v/>
      </c>
      <c r="O11" s="170">
        <f t="shared" si="0"/>
        <v>36</v>
      </c>
      <c r="P11" s="205">
        <f t="shared" si="1"/>
        <v>712.18833593283705</v>
      </c>
      <c r="Q11" s="170">
        <f>IF(D11&lt;基本情報!$C$17,支出計画!$C$5*(1+支出計画!$D$5)^(B11-1),支出計画!$C$6*(1+支出計画!$D$6)^(D11-基本情報!$C$17))-IF(AND(F11&gt;=22,F11&lt;&gt;""),支出計画!$C$45,0)</f>
        <v>318.45604518030007</v>
      </c>
      <c r="R11" s="170">
        <f>IF(C11&lt;住宅ローン償還表!$C$9,支出計画!$C$7,0)</f>
        <v>0</v>
      </c>
      <c r="S11" s="170">
        <f>IFERROR(VLOOKUP(C11,住宅ローン償還表!$C$17:$H$46,6,FALSE()),0)</f>
        <v>181.70519999999999</v>
      </c>
      <c r="T11" s="194">
        <f>(IF(ライフイベント表!F10="",0,IF(AND(ライフイベント表!F10&gt;=0,ライフイベント表!F10&lt;=5),支出計画!$D$24,IF(AND(ライフイベント表!F10&gt;=6,ライフイベント表!F10&lt;=11),支出計画!$D$25,IF(AND(ライフイベント表!F10&gt;=12,ライフイベント表!F10&lt;=14),支出計画!$D$26,IF(AND(ライフイベント表!F10&gt;=15,ライフイベント表!F10&lt;=17),支出計画!$D$27,IF(ライフイベント表!F10=18,支出計画!$D$28,IF(AND(ライフイベント表!F10&gt;=19,ライフイベント表!F10&lt;=21),支出計画!$D$29,0)))))))+IF(ライフイベント表!G10="",0,IF(AND(ライフイベント表!G10&gt;=0,ライフイベント表!G10&lt;=5),支出計画!$D$24,IF(AND(ライフイベント表!G10&gt;=6,ライフイベント表!G10&lt;=11),支出計画!$D$25,IF(AND(ライフイベント表!G10&gt;=12,ライフイベント表!G10&lt;=14),支出計画!$D$26,IF(AND(ライフイベント表!G10&gt;=15,ライフイベント表!G10&lt;=17),支出計画!$D$27,IF(ライフイベント表!G10=18,支出計画!$D$28,IF(AND(ライフイベント表!G10&gt;=19,ライフイベント表!G10&lt;=21),支出計画!$D$29,0)))))))+IF(ライフイベント表!H10="",0,IF(AND(ライフイベント表!H10&gt;=0,ライフイベント表!H10&lt;=5),支出計画!$D$24,IF(AND(ライフイベント表!H10&gt;=6,ライフイベント表!H10&lt;=11),支出計画!$D$25,IF(AND(ライフイベント表!H10&gt;=12,ライフイベント表!H10&lt;=14),支出計画!$D$26,IF(AND(ライフイベント表!H10&gt;=15,ライフイベント表!H10&lt;=17),支出計画!$D$27,IF(ライフイベント表!H10=18,支出計画!$D$28,IF(AND(ライフイベント表!H10&gt;=19,ライフイベント表!H10&lt;=21),支出計画!$D$29,0)))))))+IF(ライフイベント表!I10="",0,IF(AND(ライフイベント表!I10&gt;=0,ライフイベント表!I10&lt;=5),支出計画!$D$24,IF(AND(ライフイベント表!I10&gt;=6,ライフイベント表!I10&lt;=11),支出計画!$D$25,IF(AND(ライフイベント表!I10&gt;=12,ライフイベント表!I10&lt;=14),支出計画!$D$26,IF(AND(ライフイベント表!I10&gt;=15,ライフイベント表!I10&lt;=17),支出計画!$D$27,IF(ライフイベント表!I10=18,支出計画!$D$28,IF(AND(ライフイベント表!I10&gt;=19,ライフイベント表!I10&lt;=21),支出計画!$D$29,0)))))))+IF(ライフイベント表!J10="",0,IF(AND(ライフイベント表!J10&gt;=0,ライフイベント表!J10&lt;=5),支出計画!$D$24,IF(AND(ライフイベント表!J10&gt;=6,ライフイベント表!J10&lt;=11),支出計画!$D$25,IF(AND(ライフイベント表!J10&gt;=12,ライフイベント表!J10&lt;=14),支出計画!$D$26,IF(AND(ライフイベント表!J10&gt;=15,ライフイベント表!J10&lt;=17),支出計画!$D$27,IF(ライフイベント表!J10=18,支出計画!$D$28,IF(AND(ライフイベント表!J10&gt;=19,ライフイベント表!J10&lt;=21),支出計画!$D$29,0))))))))*POWER(1.02,B11-1)</f>
        <v>110.36391708787201</v>
      </c>
      <c r="U11" s="170">
        <f>SUMPRODUCT((保険!$G$5:$G$12&lt;=C11)*(保険!$H$5:$H$12&gt;=C11)*保険!$F$5:$F$12)</f>
        <v>52.120000000000005</v>
      </c>
      <c r="V11" s="170">
        <f>支出計画!$C$9</f>
        <v>36</v>
      </c>
      <c r="W11" s="170">
        <f>IF(AND(C11&gt;=支出計画!$D$35,C11&lt;=支出計画!$F$35,MOD(C11-支出計画!$D$35,支出計画!$E$35)=0),支出計画!$C$35,0)+IF(AND(C11&gt;=支出計画!$D$36,C11&lt;=支出計画!$F$36,MOD(C11-支出計画!$D$36,支出計画!$E$36)=0),支出計画!$C$36,0)+IF(C11=支出計画!$D$37,支出計画!$C$37,0)+IF(C11=支出計画!$D$38,支出計画!$C$38,0)</f>
        <v>0</v>
      </c>
      <c r="X11" s="172">
        <f t="shared" si="2"/>
        <v>698.64516226817204</v>
      </c>
      <c r="Y11" s="172">
        <f t="shared" si="3"/>
        <v>13.543173664665005</v>
      </c>
      <c r="Z11" s="172">
        <f>Z10*(1+金融資産!$C$15)+Y11</f>
        <v>984.50766400768521</v>
      </c>
      <c r="AA11" s="1"/>
      <c r="AB11" s="1"/>
    </row>
    <row r="12" spans="1:28" ht="15" customHeight="1">
      <c r="A12" s="1"/>
      <c r="B12" s="167">
        <v>8</v>
      </c>
      <c r="C12" s="168">
        <f>基本情報!$C$3+B12-1</f>
        <v>2029</v>
      </c>
      <c r="D12" s="200">
        <f>IF(基本情報!$D$6="","",C12-YEAR(基本情報!$D$6)-IF(OR(MONTH(基本情報!$D$6)&gt;1,DAY(基本情報!$D$6)&gt;1),1,0))</f>
        <v>42</v>
      </c>
      <c r="E12" s="168">
        <f>IF(基本情報!$D$7="","",C12-YEAR(基本情報!$D$7)-IF(OR(MONTH(基本情報!$D$7)&gt;1,DAY(基本情報!$D$7)&gt;1),1,0))</f>
        <v>41</v>
      </c>
      <c r="F12" s="169">
        <f>IF(OR(基本情報!$D$8="",C12&lt;=YEAR(基本情報!$D$8)),"",MAX(0,C12-YEAR(基本情報!$D$8)-IF(OR(MONTH(基本情報!$D$8)&gt;1,DAY(基本情報!$D$8)&gt;1),1,0)))</f>
        <v>10</v>
      </c>
      <c r="G12" s="169">
        <f>IF(OR(基本情報!$D$9="",C12&lt;=YEAR(基本情報!$D$9)),"",MAX(0,C12-YEAR(基本情報!$D$9)-IF(OR(MONTH(基本情報!$D$9)&gt;1,DAY(基本情報!$D$9)&gt;1),1,0)))</f>
        <v>8</v>
      </c>
      <c r="H12" s="169">
        <f>IF(OR(基本情報!$D$10="",C12&lt;=YEAR(基本情報!$D$10)),"",MAX(0,C12-YEAR(基本情報!$D$10)-IF(OR(MONTH(基本情報!$D$10)&gt;1,DAY(基本情報!$D$10)&gt;1),1,0)))</f>
        <v>1</v>
      </c>
      <c r="I12" s="169" t="str">
        <f>IF(OR(基本情報!$D$11="",C12&lt;=YEAR(基本情報!$D$11)),"",MAX(0,C12-YEAR(基本情報!$D$11)-IF(OR(MONTH(基本情報!$D$11)&gt;1,DAY(基本情報!$D$11)&gt;1),1,0)))</f>
        <v/>
      </c>
      <c r="J12" s="169" t="str">
        <f>IF(OR(基本情報!$D$12="",C12&lt;=YEAR(基本情報!$D$12)),"",MAX(0,C12-YEAR(基本情報!$D$12)-IF(OR(MONTH(基本情報!$D$12)&gt;1,DAY(基本情報!$D$12)&gt;1),1,0)))</f>
        <v/>
      </c>
      <c r="K12" s="197">
        <f>IF(D12="","",IF(D12&lt;基本情報!$C$15,MAX(0,収入計画!$D$5*(1+収入計画!$E$5)^(B12-1)),IF(AND(D12&gt;=基本情報!$C$15,D12&lt;基本情報!$C$20),MAX(0,基本情報!$C$19*(収入計画!$D$5/収入計画!$C$5)),0)))</f>
        <v>424.56559943437588</v>
      </c>
      <c r="L12" s="170">
        <f>IF(E12="","",IF(E12&lt;基本情報!$D$15,IF(E12&lt;MAX(収入計画!$C$11,収入計画!$C$14,収入計画!$C$17,収入計画!$C$20,収入計画!$C$23),MAX(0,収入計画!$D$6*0.5*(1+収入計画!$E$6)^(B12-1)),MAX(0,収入計画!$D$6*(1+収入計画!$E$6)^(B12-1))),IF(AND(E12&gt;=基本情報!$D$15,E12&lt;基本情報!$D$20),MAX(0,基本情報!$D$19*(収入計画!$D$6/収入計画!$C$6)),0)))</f>
        <v>258.38461985778935</v>
      </c>
      <c r="M12" s="170">
        <f>IF(OR(D12="",E12=""),"",IF(D12=基本情報!$C$15,基本情報!$C$16,0)+IF(E12=基本情報!$D$15,基本情報!$D$16,0))</f>
        <v>0</v>
      </c>
      <c r="N12" s="170" t="str">
        <f>IF(D12="","",IF(OR(D12&gt;=基本情報!$C$17,E12&gt;=基本情報!$D$17),MAX(0,IF(D12&gt;=基本情報!$C$17,基本情報!$C$18*12,0)+IF(AND(E12&lt;&gt;"",E12&gt;=基本情報!$D$17),基本情報!$D$18*12,0)),""))</f>
        <v/>
      </c>
      <c r="O12" s="170">
        <f t="shared" si="0"/>
        <v>36</v>
      </c>
      <c r="P12" s="205">
        <f t="shared" si="1"/>
        <v>718.95021929216523</v>
      </c>
      <c r="Q12" s="170">
        <f>IF(D12&lt;基本情報!$C$17,支出計画!$C$5*(1+支出計画!$D$5)^(B12-1),支出計画!$C$6*(1+支出計画!$D$6)^(D12-基本情報!$C$17))-IF(AND(F12&gt;=22,F12&lt;&gt;""),支出計画!$C$45,0)</f>
        <v>321.64060563210296</v>
      </c>
      <c r="R12" s="170">
        <f>IF(C12&lt;住宅ローン償還表!$C$9,支出計画!$C$7,0)</f>
        <v>0</v>
      </c>
      <c r="S12" s="170">
        <f>IFERROR(VLOOKUP(C12,住宅ローン償還表!$C$17:$H$46,6,FALSE()),0)</f>
        <v>181.70519999999999</v>
      </c>
      <c r="T12" s="194">
        <f>(IF(ライフイベント表!F11="",0,IF(AND(ライフイベント表!F11&gt;=0,ライフイベント表!F11&lt;=5),支出計画!$D$24,IF(AND(ライフイベント表!F11&gt;=6,ライフイベント表!F11&lt;=11),支出計画!$D$25,IF(AND(ライフイベント表!F11&gt;=12,ライフイベント表!F11&lt;=14),支出計画!$D$26,IF(AND(ライフイベント表!F11&gt;=15,ライフイベント表!F11&lt;=17),支出計画!$D$27,IF(ライフイベント表!F11=18,支出計画!$D$28,IF(AND(ライフイベント表!F11&gt;=19,ライフイベント表!F11&lt;=21),支出計画!$D$29,0)))))))+IF(ライフイベント表!G11="",0,IF(AND(ライフイベント表!G11&gt;=0,ライフイベント表!G11&lt;=5),支出計画!$D$24,IF(AND(ライフイベント表!G11&gt;=6,ライフイベント表!G11&lt;=11),支出計画!$D$25,IF(AND(ライフイベント表!G11&gt;=12,ライフイベント表!G11&lt;=14),支出計画!$D$26,IF(AND(ライフイベント表!G11&gt;=15,ライフイベント表!G11&lt;=17),支出計画!$D$27,IF(ライフイベント表!G11=18,支出計画!$D$28,IF(AND(ライフイベント表!G11&gt;=19,ライフイベント表!G11&lt;=21),支出計画!$D$29,0)))))))+IF(ライフイベント表!H11="",0,IF(AND(ライフイベント表!H11&gt;=0,ライフイベント表!H11&lt;=5),支出計画!$D$24,IF(AND(ライフイベント表!H11&gt;=6,ライフイベント表!H11&lt;=11),支出計画!$D$25,IF(AND(ライフイベント表!H11&gt;=12,ライフイベント表!H11&lt;=14),支出計画!$D$26,IF(AND(ライフイベント表!H11&gt;=15,ライフイベント表!H11&lt;=17),支出計画!$D$27,IF(ライフイベント表!H11=18,支出計画!$D$28,IF(AND(ライフイベント表!H11&gt;=19,ライフイベント表!H11&lt;=21),支出計画!$D$29,0)))))))+IF(ライフイベント表!I11="",0,IF(AND(ライフイベント表!I11&gt;=0,ライフイベント表!I11&lt;=5),支出計画!$D$24,IF(AND(ライフイベント表!I11&gt;=6,ライフイベント表!I11&lt;=11),支出計画!$D$25,IF(AND(ライフイベント表!I11&gt;=12,ライフイベント表!I11&lt;=14),支出計画!$D$26,IF(AND(ライフイベント表!I11&gt;=15,ライフイベント表!I11&lt;=17),支出計画!$D$27,IF(ライフイベント表!I11=18,支出計画!$D$28,IF(AND(ライフイベント表!I11&gt;=19,ライフイベント表!I11&lt;=21),支出計画!$D$29,0)))))))+IF(ライフイベント表!J11="",0,IF(AND(ライフイベント表!J11&gt;=0,ライフイベント表!J11&lt;=5),支出計画!$D$24,IF(AND(ライフイベント表!J11&gt;=6,ライフイベント表!J11&lt;=11),支出計画!$D$25,IF(AND(ライフイベント表!J11&gt;=12,ライフイベント表!J11&lt;=14),支出計画!$D$26,IF(AND(ライフイベント表!J11&gt;=15,ライフイベント表!J11&lt;=17),支出計画!$D$27,IF(ライフイベント表!J11=18,支出計画!$D$28,IF(AND(ライフイベント表!J11&gt;=19,ライフイベント表!J11&lt;=21),支出計画!$D$29,0))))))))*POWER(1.02,B12-1)</f>
        <v>112.57119542962943</v>
      </c>
      <c r="U12" s="170">
        <f>SUMPRODUCT((保険!$G$5:$G$12&lt;=C12)*(保険!$H$5:$H$12&gt;=C12)*保険!$F$5:$F$12)</f>
        <v>58.360000000000007</v>
      </c>
      <c r="V12" s="170">
        <f>支出計画!$C$9</f>
        <v>36</v>
      </c>
      <c r="W12" s="170">
        <f>IF(AND(C12&gt;=支出計画!$D$35,C12&lt;=支出計画!$F$35,MOD(C12-支出計画!$D$35,支出計画!$E$35)=0),支出計画!$C$35,0)+IF(AND(C12&gt;=支出計画!$D$36,C12&lt;=支出計画!$F$36,MOD(C12-支出計画!$D$36,支出計画!$E$36)=0),支出計画!$C$36,0)+IF(C12=支出計画!$D$37,支出計画!$C$37,0)+IF(C12=支出計画!$D$38,支出計画!$C$38,0)</f>
        <v>0</v>
      </c>
      <c r="X12" s="172">
        <f t="shared" si="2"/>
        <v>710.27700106173245</v>
      </c>
      <c r="Y12" s="172">
        <f t="shared" si="3"/>
        <v>8.6732182304327807</v>
      </c>
      <c r="Z12" s="172">
        <f>Z11*(1+金融資産!$C$15)+Y12</f>
        <v>998.10342055815636</v>
      </c>
      <c r="AA12" s="1"/>
      <c r="AB12" s="1"/>
    </row>
    <row r="13" spans="1:28" ht="15" customHeight="1">
      <c r="A13" s="1"/>
      <c r="B13" s="167">
        <v>9</v>
      </c>
      <c r="C13" s="168">
        <f>基本情報!$C$3+B13-1</f>
        <v>2030</v>
      </c>
      <c r="D13" s="200">
        <f>IF(基本情報!$D$6="","",C13-YEAR(基本情報!$D$6)-IF(OR(MONTH(基本情報!$D$6)&gt;1,DAY(基本情報!$D$6)&gt;1),1,0))</f>
        <v>43</v>
      </c>
      <c r="E13" s="168">
        <f>IF(基本情報!$D$7="","",C13-YEAR(基本情報!$D$7)-IF(OR(MONTH(基本情報!$D$7)&gt;1,DAY(基本情報!$D$7)&gt;1),1,0))</f>
        <v>42</v>
      </c>
      <c r="F13" s="169">
        <f>IF(OR(基本情報!$D$8="",C13&lt;=YEAR(基本情報!$D$8)),"",MAX(0,C13-YEAR(基本情報!$D$8)-IF(OR(MONTH(基本情報!$D$8)&gt;1,DAY(基本情報!$D$8)&gt;1),1,0)))</f>
        <v>11</v>
      </c>
      <c r="G13" s="169">
        <f>IF(OR(基本情報!$D$9="",C13&lt;=YEAR(基本情報!$D$9)),"",MAX(0,C13-YEAR(基本情報!$D$9)-IF(OR(MONTH(基本情報!$D$9)&gt;1,DAY(基本情報!$D$9)&gt;1),1,0)))</f>
        <v>9</v>
      </c>
      <c r="H13" s="169">
        <f>IF(OR(基本情報!$D$10="",C13&lt;=YEAR(基本情報!$D$10)),"",MAX(0,C13-YEAR(基本情報!$D$10)-IF(OR(MONTH(基本情報!$D$10)&gt;1,DAY(基本情報!$D$10)&gt;1),1,0)))</f>
        <v>2</v>
      </c>
      <c r="I13" s="169">
        <f>IF(OR(基本情報!$D$11="",C13&lt;=YEAR(基本情報!$D$11)),"",MAX(0,C13-YEAR(基本情報!$D$11)-IF(OR(MONTH(基本情報!$D$11)&gt;1,DAY(基本情報!$D$11)&gt;1),1,0)))</f>
        <v>0</v>
      </c>
      <c r="J13" s="169" t="str">
        <f>IF(OR(基本情報!$D$12="",C13&lt;=YEAR(基本情報!$D$12)),"",MAX(0,C13-YEAR(基本情報!$D$12)-IF(OR(MONTH(基本情報!$D$12)&gt;1,DAY(基本情報!$D$12)&gt;1),1,0)))</f>
        <v/>
      </c>
      <c r="K13" s="197">
        <f>IF(D13="","",IF(D13&lt;基本情報!$C$15,MAX(0,収入計画!$D$5*(1+収入計画!$E$5)^(B13-1)),IF(AND(D13&gt;=基本情報!$C$15,D13&lt;基本情報!$C$20),MAX(0,基本情報!$C$19*(収入計画!$D$5/収入計画!$C$5)),0)))</f>
        <v>428.81125542871979</v>
      </c>
      <c r="L13" s="170">
        <f>IF(E13="","",IF(E13&lt;基本情報!$D$15,IF(E13&lt;MAX(収入計画!$C$11,収入計画!$C$14,収入計画!$C$17,収入計画!$C$20,収入計画!$C$23),MAX(0,収入計画!$D$6*0.5*(1+収入計画!$E$6)^(B13-1)),MAX(0,収入計画!$D$6*(1+収入計画!$E$6)^(B13-1))),IF(AND(E13&gt;=基本情報!$D$15,E13&lt;基本情報!$D$20),MAX(0,基本情報!$D$19*(収入計画!$D$6/収入計画!$C$6)),0)))</f>
        <v>260.96846605636733</v>
      </c>
      <c r="M13" s="170">
        <f>IF(OR(D13="",E13=""),"",IF(D13=基本情報!$C$15,基本情報!$C$16,0)+IF(E13=基本情報!$D$15,基本情報!$D$16,0))</f>
        <v>0</v>
      </c>
      <c r="N13" s="170" t="str">
        <f>IF(D13="","",IF(OR(D13&gt;=基本情報!$C$17,E13&gt;=基本情報!$D$17),MAX(0,IF(D13&gt;=基本情報!$C$17,基本情報!$C$18*12,0)+IF(AND(E13&lt;&gt;"",E13&gt;=基本情報!$D$17),基本情報!$D$18*12,0)),""))</f>
        <v/>
      </c>
      <c r="O13" s="170">
        <f t="shared" si="0"/>
        <v>48</v>
      </c>
      <c r="P13" s="205">
        <f t="shared" si="1"/>
        <v>737.77972148508707</v>
      </c>
      <c r="Q13" s="170">
        <f>IF(D13&lt;基本情報!$C$17,支出計画!$C$5*(1+支出計画!$D$5)^(B13-1),支出計画!$C$6*(1+支出計画!$D$6)^(D13-基本情報!$C$17))-IF(AND(F13&gt;=22,F13&lt;&gt;""),支出計画!$C$45,0)</f>
        <v>324.85701168842405</v>
      </c>
      <c r="R13" s="170">
        <f>IF(C13&lt;住宅ローン償還表!$C$9,支出計画!$C$7,0)</f>
        <v>0</v>
      </c>
      <c r="S13" s="170">
        <f>IFERROR(VLOOKUP(C13,住宅ローン償還表!$C$17:$H$46,6,FALSE()),0)</f>
        <v>181.70519999999999</v>
      </c>
      <c r="T13" s="194">
        <f>(IF(ライフイベント表!F12="",0,IF(AND(ライフイベント表!F12&gt;=0,ライフイベント表!F12&lt;=5),支出計画!$D$24,IF(AND(ライフイベント表!F12&gt;=6,ライフイベント表!F12&lt;=11),支出計画!$D$25,IF(AND(ライフイベント表!F12&gt;=12,ライフイベント表!F12&lt;=14),支出計画!$D$26,IF(AND(ライフイベント表!F12&gt;=15,ライフイベント表!F12&lt;=17),支出計画!$D$27,IF(ライフイベント表!F12=18,支出計画!$D$28,IF(AND(ライフイベント表!F12&gt;=19,ライフイベント表!F12&lt;=21),支出計画!$D$29,0)))))))+IF(ライフイベント表!G12="",0,IF(AND(ライフイベント表!G12&gt;=0,ライフイベント表!G12&lt;=5),支出計画!$D$24,IF(AND(ライフイベント表!G12&gt;=6,ライフイベント表!G12&lt;=11),支出計画!$D$25,IF(AND(ライフイベント表!G12&gt;=12,ライフイベント表!G12&lt;=14),支出計画!$D$26,IF(AND(ライフイベント表!G12&gt;=15,ライフイベント表!G12&lt;=17),支出計画!$D$27,IF(ライフイベント表!G12=18,支出計画!$D$28,IF(AND(ライフイベント表!G12&gt;=19,ライフイベント表!G12&lt;=21),支出計画!$D$29,0)))))))+IF(ライフイベント表!H12="",0,IF(AND(ライフイベント表!H12&gt;=0,ライフイベント表!H12&lt;=5),支出計画!$D$24,IF(AND(ライフイベント表!H12&gt;=6,ライフイベント表!H12&lt;=11),支出計画!$D$25,IF(AND(ライフイベント表!H12&gt;=12,ライフイベント表!H12&lt;=14),支出計画!$D$26,IF(AND(ライフイベント表!H12&gt;=15,ライフイベント表!H12&lt;=17),支出計画!$D$27,IF(ライフイベント表!H12=18,支出計画!$D$28,IF(AND(ライフイベント表!H12&gt;=19,ライフイベント表!H12&lt;=21),支出計画!$D$29,0)))))))+IF(ライフイベント表!I12="",0,IF(AND(ライフイベント表!I12&gt;=0,ライフイベント表!I12&lt;=5),支出計画!$D$24,IF(AND(ライフイベント表!I12&gt;=6,ライフイベント表!I12&lt;=11),支出計画!$D$25,IF(AND(ライフイベント表!I12&gt;=12,ライフイベント表!I12&lt;=14),支出計画!$D$26,IF(AND(ライフイベント表!I12&gt;=15,ライフイベント表!I12&lt;=17),支出計画!$D$27,IF(ライフイベント表!I12=18,支出計画!$D$28,IF(AND(ライフイベント表!I12&gt;=19,ライフイベント表!I12&lt;=21),支出計画!$D$29,0)))))))+IF(ライフイベント表!J12="",0,IF(AND(ライフイベント表!J12&gt;=0,ライフイベント表!J12&lt;=5),支出計画!$D$24,IF(AND(ライフイベント表!J12&gt;=6,ライフイベント表!J12&lt;=11),支出計画!$D$25,IF(AND(ライフイベント表!J12&gt;=12,ライフイベント表!J12&lt;=14),支出計画!$D$26,IF(AND(ライフイベント表!J12&gt;=15,ライフイベント表!J12&lt;=17),支出計画!$D$27,IF(ライフイベント表!J12=18,支出計画!$D$28,IF(AND(ライフイベント表!J12&gt;=19,ライフイベント表!J12&lt;=21),支出計画!$D$29,0))))))))*POWER(1.02,B13-1)</f>
        <v>154.65903829229904</v>
      </c>
      <c r="U13" s="170">
        <f>SUMPRODUCT((保険!$G$5:$G$12&lt;=C13)*(保険!$H$5:$H$12&gt;=C13)*保険!$F$5:$F$12)</f>
        <v>58.360000000000007</v>
      </c>
      <c r="V13" s="170">
        <f>支出計画!$C$9</f>
        <v>36</v>
      </c>
      <c r="W13" s="170">
        <f>IF(AND(C13&gt;=支出計画!$D$35,C13&lt;=支出計画!$F$35,MOD(C13-支出計画!$D$35,支出計画!$E$35)=0),支出計画!$C$35,0)+IF(AND(C13&gt;=支出計画!$D$36,C13&lt;=支出計画!$F$36,MOD(C13-支出計画!$D$36,支出計画!$E$36)=0),支出計画!$C$36,0)+IF(C13=支出計画!$D$37,支出計画!$C$37,0)+IF(C13=支出計画!$D$38,支出計画!$C$38,0)</f>
        <v>0</v>
      </c>
      <c r="X13" s="172">
        <f t="shared" si="2"/>
        <v>755.5812499807231</v>
      </c>
      <c r="Y13" s="172">
        <f t="shared" si="3"/>
        <v>-17.801528495636035</v>
      </c>
      <c r="Z13" s="172">
        <f>Z12*(1+金融資産!$C$15)+Y13</f>
        <v>985.29240916531103</v>
      </c>
      <c r="AA13" s="1"/>
      <c r="AB13" s="1"/>
    </row>
    <row r="14" spans="1:28" ht="15" customHeight="1">
      <c r="A14" s="1"/>
      <c r="B14" s="167">
        <v>10</v>
      </c>
      <c r="C14" s="168">
        <f>基本情報!$C$3+B14-1</f>
        <v>2031</v>
      </c>
      <c r="D14" s="200">
        <f>IF(基本情報!$D$6="","",C14-YEAR(基本情報!$D$6)-IF(OR(MONTH(基本情報!$D$6)&gt;1,DAY(基本情報!$D$6)&gt;1),1,0))</f>
        <v>44</v>
      </c>
      <c r="E14" s="168">
        <f>IF(基本情報!$D$7="","",C14-YEAR(基本情報!$D$7)-IF(OR(MONTH(基本情報!$D$7)&gt;1,DAY(基本情報!$D$7)&gt;1),1,0))</f>
        <v>43</v>
      </c>
      <c r="F14" s="169">
        <f>IF(OR(基本情報!$D$8="",C14&lt;=YEAR(基本情報!$D$8)),"",MAX(0,C14-YEAR(基本情報!$D$8)-IF(OR(MONTH(基本情報!$D$8)&gt;1,DAY(基本情報!$D$8)&gt;1),1,0)))</f>
        <v>12</v>
      </c>
      <c r="G14" s="169">
        <f>IF(OR(基本情報!$D$9="",C14&lt;=YEAR(基本情報!$D$9)),"",MAX(0,C14-YEAR(基本情報!$D$9)-IF(OR(MONTH(基本情報!$D$9)&gt;1,DAY(基本情報!$D$9)&gt;1),1,0)))</f>
        <v>10</v>
      </c>
      <c r="H14" s="169">
        <f>IF(OR(基本情報!$D$10="",C14&lt;=YEAR(基本情報!$D$10)),"",MAX(0,C14-YEAR(基本情報!$D$10)-IF(OR(MONTH(基本情報!$D$10)&gt;1,DAY(基本情報!$D$10)&gt;1),1,0)))</f>
        <v>3</v>
      </c>
      <c r="I14" s="169">
        <f>IF(OR(基本情報!$D$11="",C14&lt;=YEAR(基本情報!$D$11)),"",MAX(0,C14-YEAR(基本情報!$D$11)-IF(OR(MONTH(基本情報!$D$11)&gt;1,DAY(基本情報!$D$11)&gt;1),1,0)))</f>
        <v>1</v>
      </c>
      <c r="J14" s="169" t="str">
        <f>IF(OR(基本情報!$D$12="",C14&lt;=YEAR(基本情報!$D$12)),"",MAX(0,C14-YEAR(基本情報!$D$12)-IF(OR(MONTH(基本情報!$D$12)&gt;1,DAY(基本情報!$D$12)&gt;1),1,0)))</f>
        <v/>
      </c>
      <c r="K14" s="197">
        <f>IF(D14="","",IF(D14&lt;基本情報!$C$15,MAX(0,収入計画!$D$5*(1+収入計画!$E$5)^(B14-1)),IF(AND(D14&gt;=基本情報!$C$15,D14&lt;基本情報!$C$20),MAX(0,基本情報!$C$19*(収入計画!$D$5/収入計画!$C$5)),0)))</f>
        <v>433.09936798300703</v>
      </c>
      <c r="L14" s="170">
        <f>IF(E14="","",IF(E14&lt;基本情報!$D$15,IF(E14&lt;MAX(収入計画!$C$11,収入計画!$C$14,収入計画!$C$17,収入計画!$C$20,収入計画!$C$23),MAX(0,収入計画!$D$6*0.5*(1+収入計画!$E$6)^(B14-1)),MAX(0,収入計画!$D$6*(1+収入計画!$E$6)^(B14-1))),IF(AND(E14&gt;=基本情報!$D$15,E14&lt;基本情報!$D$20),MAX(0,基本情報!$D$19*(収入計画!$D$6/収入計画!$C$6)),0)))</f>
        <v>263.57815071693102</v>
      </c>
      <c r="M14" s="170">
        <f>IF(OR(D14="",E14=""),"",IF(D14=基本情報!$C$15,基本情報!$C$16,0)+IF(E14=基本情報!$D$15,基本情報!$D$16,0))</f>
        <v>0</v>
      </c>
      <c r="N14" s="170" t="str">
        <f>IF(D14="","",IF(OR(D14&gt;=基本情報!$C$17,E14&gt;=基本情報!$D$17),MAX(0,IF(D14&gt;=基本情報!$C$17,基本情報!$C$18*12,0)+IF(AND(E14&lt;&gt;"",E14&gt;=基本情報!$D$17),基本情報!$D$18*12,0)),""))</f>
        <v/>
      </c>
      <c r="O14" s="170">
        <f t="shared" si="0"/>
        <v>48</v>
      </c>
      <c r="P14" s="205">
        <f t="shared" si="1"/>
        <v>744.67751869993799</v>
      </c>
      <c r="Q14" s="170">
        <f>IF(D14&lt;基本情報!$C$17,支出計画!$C$5*(1+支出計画!$D$5)^(B14-1),支出計画!$C$6*(1+支出計画!$D$6)^(D14-基本情報!$C$17))-IF(AND(F14&gt;=22,F14&lt;&gt;""),支出計画!$C$45,0)</f>
        <v>328.10558180530836</v>
      </c>
      <c r="R14" s="170">
        <f>IF(C14&lt;住宅ローン償還表!$C$9,支出計画!$C$7,0)</f>
        <v>0</v>
      </c>
      <c r="S14" s="170">
        <f>IFERROR(VLOOKUP(C14,住宅ローン償還表!$C$17:$H$46,6,FALSE()),0)</f>
        <v>181.70519999999999</v>
      </c>
      <c r="T14" s="194">
        <f>(IF(ライフイベント表!F13="",0,IF(AND(ライフイベント表!F13&gt;=0,ライフイベント表!F13&lt;=5),支出計画!$D$24,IF(AND(ライフイベント表!F13&gt;=6,ライフイベント表!F13&lt;=11),支出計画!$D$25,IF(AND(ライフイベント表!F13&gt;=12,ライフイベント表!F13&lt;=14),支出計画!$D$26,IF(AND(ライフイベント表!F13&gt;=15,ライフイベント表!F13&lt;=17),支出計画!$D$27,IF(ライフイベント表!F13=18,支出計画!$D$28,IF(AND(ライフイベント表!F13&gt;=19,ライフイベント表!F13&lt;=21),支出計画!$D$29,0)))))))+IF(ライフイベント表!G13="",0,IF(AND(ライフイベント表!G13&gt;=0,ライフイベント表!G13&lt;=5),支出計画!$D$24,IF(AND(ライフイベント表!G13&gt;=6,ライフイベント表!G13&lt;=11),支出計画!$D$25,IF(AND(ライフイベント表!G13&gt;=12,ライフイベント表!G13&lt;=14),支出計画!$D$26,IF(AND(ライフイベント表!G13&gt;=15,ライフイベント表!G13&lt;=17),支出計画!$D$27,IF(ライフイベント表!G13=18,支出計画!$D$28,IF(AND(ライフイベント表!G13&gt;=19,ライフイベント表!G13&lt;=21),支出計画!$D$29,0)))))))+IF(ライフイベント表!H13="",0,IF(AND(ライフイベント表!H13&gt;=0,ライフイベント表!H13&lt;=5),支出計画!$D$24,IF(AND(ライフイベント表!H13&gt;=6,ライフイベント表!H13&lt;=11),支出計画!$D$25,IF(AND(ライフイベント表!H13&gt;=12,ライフイベント表!H13&lt;=14),支出計画!$D$26,IF(AND(ライフイベント表!H13&gt;=15,ライフイベント表!H13&lt;=17),支出計画!$D$27,IF(ライフイベント表!H13=18,支出計画!$D$28,IF(AND(ライフイベント表!H13&gt;=19,ライフイベント表!H13&lt;=21),支出計画!$D$29,0)))))))+IF(ライフイベント表!I13="",0,IF(AND(ライフイベント表!I13&gt;=0,ライフイベント表!I13&lt;=5),支出計画!$D$24,IF(AND(ライフイベント表!I13&gt;=6,ライフイベント表!I13&lt;=11),支出計画!$D$25,IF(AND(ライフイベント表!I13&gt;=12,ライフイベント表!I13&lt;=14),支出計画!$D$26,IF(AND(ライフイベント表!I13&gt;=15,ライフイベント表!I13&lt;=17),支出計画!$D$27,IF(ライフイベント表!I13=18,支出計画!$D$28,IF(AND(ライフイベント表!I13&gt;=19,ライフイベント表!I13&lt;=21),支出計画!$D$29,0)))))))+IF(ライフイベント表!J13="",0,IF(AND(ライフイベント表!J13&gt;=0,ライフイベント表!J13&lt;=5),支出計画!$D$24,IF(AND(ライフイベント表!J13&gt;=6,ライフイベント表!J13&lt;=11),支出計画!$D$25,IF(AND(ライフイベント表!J13&gt;=12,ライフイベント表!J13&lt;=14),支出計画!$D$26,IF(AND(ライフイベント表!J13&gt;=15,ライフイベント表!J13&lt;=17),支出計画!$D$27,IF(ライフイベント表!J13=18,支出計画!$D$28,IF(AND(ライフイベント表!J13&gt;=19,ライフイベント表!J13&lt;=21),支出計画!$D$29,0))))))))*POWER(1.02,B14-1)</f>
        <v>178.06879272472432</v>
      </c>
      <c r="U14" s="170">
        <f>SUMPRODUCT((保険!$G$5:$G$12&lt;=C14)*(保険!$H$5:$H$12&gt;=C14)*保険!$F$5:$F$12)</f>
        <v>64.600000000000009</v>
      </c>
      <c r="V14" s="170">
        <f>支出計画!$C$9</f>
        <v>36</v>
      </c>
      <c r="W14" s="170">
        <f>IF(AND(C14&gt;=支出計画!$D$35,C14&lt;=支出計画!$F$35,MOD(C14-支出計画!$D$35,支出計画!$E$35)=0),支出計画!$C$35,0)+IF(AND(C14&gt;=支出計画!$D$36,C14&lt;=支出計画!$F$36,MOD(C14-支出計画!$D$36,支出計画!$E$36)=0),支出計画!$C$36,0)+IF(C14=支出計画!$D$37,支出計画!$C$37,0)+IF(C14=支出計画!$D$38,支出計画!$C$38,0)</f>
        <v>270</v>
      </c>
      <c r="X14" s="172">
        <f t="shared" si="2"/>
        <v>1058.4795745300326</v>
      </c>
      <c r="Y14" s="172">
        <f t="shared" si="3"/>
        <v>-313.80205583009456</v>
      </c>
      <c r="Z14" s="172">
        <f>Z13*(1+金融資産!$C$15)+Y14</f>
        <v>676.41681538104297</v>
      </c>
      <c r="AA14" s="1"/>
      <c r="AB14" s="1"/>
    </row>
    <row r="15" spans="1:28" ht="15" customHeight="1">
      <c r="A15" s="1"/>
      <c r="B15" s="167">
        <v>11</v>
      </c>
      <c r="C15" s="168">
        <f>基本情報!$C$3+B15-1</f>
        <v>2032</v>
      </c>
      <c r="D15" s="200">
        <f>IF(基本情報!$D$6="","",C15-YEAR(基本情報!$D$6)-IF(OR(MONTH(基本情報!$D$6)&gt;1,DAY(基本情報!$D$6)&gt;1),1,0))</f>
        <v>45</v>
      </c>
      <c r="E15" s="168">
        <f>IF(基本情報!$D$7="","",C15-YEAR(基本情報!$D$7)-IF(OR(MONTH(基本情報!$D$7)&gt;1,DAY(基本情報!$D$7)&gt;1),1,0))</f>
        <v>44</v>
      </c>
      <c r="F15" s="169">
        <f>IF(OR(基本情報!$D$8="",C15&lt;=YEAR(基本情報!$D$8)),"",MAX(0,C15-YEAR(基本情報!$D$8)-IF(OR(MONTH(基本情報!$D$8)&gt;1,DAY(基本情報!$D$8)&gt;1),1,0)))</f>
        <v>13</v>
      </c>
      <c r="G15" s="169">
        <f>IF(OR(基本情報!$D$9="",C15&lt;=YEAR(基本情報!$D$9)),"",MAX(0,C15-YEAR(基本情報!$D$9)-IF(OR(MONTH(基本情報!$D$9)&gt;1,DAY(基本情報!$D$9)&gt;1),1,0)))</f>
        <v>11</v>
      </c>
      <c r="H15" s="169">
        <f>IF(OR(基本情報!$D$10="",C15&lt;=YEAR(基本情報!$D$10)),"",MAX(0,C15-YEAR(基本情報!$D$10)-IF(OR(MONTH(基本情報!$D$10)&gt;1,DAY(基本情報!$D$10)&gt;1),1,0)))</f>
        <v>4</v>
      </c>
      <c r="I15" s="169">
        <f>IF(OR(基本情報!$D$11="",C15&lt;=YEAR(基本情報!$D$11)),"",MAX(0,C15-YEAR(基本情報!$D$11)-IF(OR(MONTH(基本情報!$D$11)&gt;1,DAY(基本情報!$D$11)&gt;1),1,0)))</f>
        <v>2</v>
      </c>
      <c r="J15" s="169">
        <f>IF(OR(基本情報!$D$12="",C15&lt;=YEAR(基本情報!$D$12)),"",MAX(0,C15-YEAR(基本情報!$D$12)-IF(OR(MONTH(基本情報!$D$12)&gt;1,DAY(基本情報!$D$12)&gt;1),1,0)))</f>
        <v>0</v>
      </c>
      <c r="K15" s="197">
        <f>IF(D15="","",IF(D15&lt;基本情報!$C$15,MAX(0,収入計画!$D$5*(1+収入計画!$E$5)^(B15-1)),IF(AND(D15&gt;=基本情報!$C$15,D15&lt;基本情報!$C$20),MAX(0,基本情報!$C$19*(収入計画!$D$5/収入計画!$C$5)),0)))</f>
        <v>437.43036166283707</v>
      </c>
      <c r="L15" s="170">
        <f>IF(E15="","",IF(E15&lt;基本情報!$D$15,IF(E15&lt;MAX(収入計画!$C$11,収入計画!$C$14,収入計画!$C$17,収入計画!$C$20,収入計画!$C$23),MAX(0,収入計画!$D$6*0.5*(1+収入計画!$E$6)^(B15-1)),MAX(0,収入計画!$D$6*(1+収入計画!$E$6)^(B15-1))),IF(AND(E15&gt;=基本情報!$D$15,E15&lt;基本情報!$D$20),MAX(0,基本情報!$D$19*(収入計画!$D$6/収入計画!$C$6)),0)))</f>
        <v>266.21393222410035</v>
      </c>
      <c r="M15" s="170">
        <f>IF(OR(D15="",E15=""),"",IF(D15=基本情報!$C$15,基本情報!$C$16,0)+IF(E15=基本情報!$D$15,基本情報!$D$16,0))</f>
        <v>0</v>
      </c>
      <c r="N15" s="170" t="str">
        <f>IF(D15="","",IF(OR(D15&gt;=基本情報!$C$17,E15&gt;=基本情報!$D$17),MAX(0,IF(D15&gt;=基本情報!$C$17,基本情報!$C$18*12,0)+IF(AND(E15&lt;&gt;"",E15&gt;=基本情報!$D$17),基本情報!$D$18*12,0)),""))</f>
        <v/>
      </c>
      <c r="O15" s="170">
        <f t="shared" si="0"/>
        <v>60</v>
      </c>
      <c r="P15" s="205">
        <f t="shared" si="1"/>
        <v>763.64429388693748</v>
      </c>
      <c r="Q15" s="170">
        <f>IF(D15&lt;基本情報!$C$17,支出計画!$C$5*(1+支出計画!$D$5)^(B15-1),支出計画!$C$6*(1+支出計画!$D$6)^(D15-基本情報!$C$17))-IF(AND(F15&gt;=22,F15&lt;&gt;""),支出計画!$C$45,0)</f>
        <v>331.38663762336142</v>
      </c>
      <c r="R15" s="170">
        <f>IF(C15&lt;住宅ローン償還表!$C$9,支出計画!$C$7,0)</f>
        <v>0</v>
      </c>
      <c r="S15" s="170">
        <f>IFERROR(VLOOKUP(C15,住宅ローン償還表!$C$17:$H$46,6,FALSE()),0)</f>
        <v>181.70519999999999</v>
      </c>
      <c r="T15" s="194">
        <f>(IF(ライフイベント表!F14="",0,IF(AND(ライフイベント表!F14&gt;=0,ライフイベント表!F14&lt;=5),支出計画!$D$24,IF(AND(ライフイベント表!F14&gt;=6,ライフイベント表!F14&lt;=11),支出計画!$D$25,IF(AND(ライフイベント表!F14&gt;=12,ライフイベント表!F14&lt;=14),支出計画!$D$26,IF(AND(ライフイベント表!F14&gt;=15,ライフイベント表!F14&lt;=17),支出計画!$D$27,IF(ライフイベント表!F14=18,支出計画!$D$28,IF(AND(ライフイベント表!F14&gt;=19,ライフイベント表!F14&lt;=21),支出計画!$D$29,0)))))))+IF(ライフイベント表!G14="",0,IF(AND(ライフイベント表!G14&gt;=0,ライフイベント表!G14&lt;=5),支出計画!$D$24,IF(AND(ライフイベント表!G14&gt;=6,ライフイベント表!G14&lt;=11),支出計画!$D$25,IF(AND(ライフイベント表!G14&gt;=12,ライフイベント表!G14&lt;=14),支出計画!$D$26,IF(AND(ライフイベント表!G14&gt;=15,ライフイベント表!G14&lt;=17),支出計画!$D$27,IF(ライフイベント表!G14=18,支出計画!$D$28,IF(AND(ライフイベント表!G14&gt;=19,ライフイベント表!G14&lt;=21),支出計画!$D$29,0)))))))+IF(ライフイベント表!H14="",0,IF(AND(ライフイベント表!H14&gt;=0,ライフイベント表!H14&lt;=5),支出計画!$D$24,IF(AND(ライフイベント表!H14&gt;=6,ライフイベント表!H14&lt;=11),支出計画!$D$25,IF(AND(ライフイベント表!H14&gt;=12,ライフイベント表!H14&lt;=14),支出計画!$D$26,IF(AND(ライフイベント表!H14&gt;=15,ライフイベント表!H14&lt;=17),支出計画!$D$27,IF(ライフイベント表!H14=18,支出計画!$D$28,IF(AND(ライフイベント表!H14&gt;=19,ライフイベント表!H14&lt;=21),支出計画!$D$29,0)))))))+IF(ライフイベント表!I14="",0,IF(AND(ライフイベント表!I14&gt;=0,ライフイベント表!I14&lt;=5),支出計画!$D$24,IF(AND(ライフイベント表!I14&gt;=6,ライフイベント表!I14&lt;=11),支出計画!$D$25,IF(AND(ライフイベント表!I14&gt;=12,ライフイベント表!I14&lt;=14),支出計画!$D$26,IF(AND(ライフイベント表!I14&gt;=15,ライフイベント表!I14&lt;=17),支出計画!$D$27,IF(ライフイベント表!I14=18,支出計画!$D$28,IF(AND(ライフイベント表!I14&gt;=19,ライフイベント表!I14&lt;=21),支出計画!$D$29,0)))))))+IF(ライフイベント表!J14="",0,IF(AND(ライフイベント表!J14&gt;=0,ライフイベント表!J14&lt;=5),支出計画!$D$24,IF(AND(ライフイベント表!J14&gt;=6,ライフイベント表!J14&lt;=11),支出計画!$D$25,IF(AND(ライフイベント表!J14&gt;=12,ライフイベント表!J14&lt;=14),支出計画!$D$26,IF(AND(ライフイベント表!J14&gt;=15,ライフイベント表!J14&lt;=17),支出計画!$D$27,IF(ライフイベント表!J14=18,支出計画!$D$28,IF(AND(ライフイベント表!J14&gt;=19,ライフイベント表!J14&lt;=21),支出計画!$D$29,0))))))))*POWER(1.02,B15-1)</f>
        <v>223.07597885904056</v>
      </c>
      <c r="U15" s="170">
        <f>SUMPRODUCT((保険!$G$5:$G$12&lt;=C15)*(保険!$H$5:$H$12&gt;=C15)*保険!$F$5:$F$12)</f>
        <v>64.600000000000009</v>
      </c>
      <c r="V15" s="170">
        <f>支出計画!$C$9</f>
        <v>36</v>
      </c>
      <c r="W15" s="170">
        <f>IF(AND(C15&gt;=支出計画!$D$35,C15&lt;=支出計画!$F$35,MOD(C15-支出計画!$D$35,支出計画!$E$35)=0),支出計画!$C$35,0)+IF(AND(C15&gt;=支出計画!$D$36,C15&lt;=支出計画!$F$36,MOD(C15-支出計画!$D$36,支出計画!$E$36)=0),支出計画!$C$36,0)+IF(C15=支出計画!$D$37,支出計画!$C$37,0)+IF(C15=支出計画!$D$38,支出計画!$C$38,0)</f>
        <v>0</v>
      </c>
      <c r="X15" s="172">
        <f t="shared" si="2"/>
        <v>836.76781648240205</v>
      </c>
      <c r="Y15" s="172">
        <f t="shared" si="3"/>
        <v>-73.123522595464578</v>
      </c>
      <c r="Z15" s="172">
        <f>Z14*(1+金融資産!$C$15)+Y15</f>
        <v>606.67537686248352</v>
      </c>
      <c r="AA15" s="1"/>
      <c r="AB15" s="1"/>
    </row>
    <row r="16" spans="1:28" ht="15" customHeight="1">
      <c r="A16" s="1"/>
      <c r="B16" s="167">
        <v>12</v>
      </c>
      <c r="C16" s="168">
        <f>基本情報!$C$3+B16-1</f>
        <v>2033</v>
      </c>
      <c r="D16" s="200">
        <f>IF(基本情報!$D$6="","",C16-YEAR(基本情報!$D$6)-IF(OR(MONTH(基本情報!$D$6)&gt;1,DAY(基本情報!$D$6)&gt;1),1,0))</f>
        <v>46</v>
      </c>
      <c r="E16" s="168">
        <f>IF(基本情報!$D$7="","",C16-YEAR(基本情報!$D$7)-IF(OR(MONTH(基本情報!$D$7)&gt;1,DAY(基本情報!$D$7)&gt;1),1,0))</f>
        <v>45</v>
      </c>
      <c r="F16" s="169">
        <f>IF(OR(基本情報!$D$8="",C16&lt;=YEAR(基本情報!$D$8)),"",MAX(0,C16-YEAR(基本情報!$D$8)-IF(OR(MONTH(基本情報!$D$8)&gt;1,DAY(基本情報!$D$8)&gt;1),1,0)))</f>
        <v>14</v>
      </c>
      <c r="G16" s="169">
        <f>IF(OR(基本情報!$D$9="",C16&lt;=YEAR(基本情報!$D$9)),"",MAX(0,C16-YEAR(基本情報!$D$9)-IF(OR(MONTH(基本情報!$D$9)&gt;1,DAY(基本情報!$D$9)&gt;1),1,0)))</f>
        <v>12</v>
      </c>
      <c r="H16" s="169">
        <f>IF(OR(基本情報!$D$10="",C16&lt;=YEAR(基本情報!$D$10)),"",MAX(0,C16-YEAR(基本情報!$D$10)-IF(OR(MONTH(基本情報!$D$10)&gt;1,DAY(基本情報!$D$10)&gt;1),1,0)))</f>
        <v>5</v>
      </c>
      <c r="I16" s="169">
        <f>IF(OR(基本情報!$D$11="",C16&lt;=YEAR(基本情報!$D$11)),"",MAX(0,C16-YEAR(基本情報!$D$11)-IF(OR(MONTH(基本情報!$D$11)&gt;1,DAY(基本情報!$D$11)&gt;1),1,0)))</f>
        <v>3</v>
      </c>
      <c r="J16" s="169">
        <f>IF(OR(基本情報!$D$12="",C16&lt;=YEAR(基本情報!$D$12)),"",MAX(0,C16-YEAR(基本情報!$D$12)-IF(OR(MONTH(基本情報!$D$12)&gt;1,DAY(基本情報!$D$12)&gt;1),1,0)))</f>
        <v>1</v>
      </c>
      <c r="K16" s="197">
        <f>IF(D16="","",IF(D16&lt;基本情報!$C$15,MAX(0,収入計画!$D$5*(1+収入計画!$E$5)^(B16-1)),IF(AND(D16&gt;=基本情報!$C$15,D16&lt;基本情報!$C$20),MAX(0,基本情報!$C$19*(収入計画!$D$5/収入計画!$C$5)),0)))</f>
        <v>441.80466527946538</v>
      </c>
      <c r="L16" s="170">
        <f>IF(E16="","",IF(E16&lt;基本情報!$D$15,IF(E16&lt;MAX(収入計画!$C$11,収入計画!$C$14,収入計画!$C$17,収入計画!$C$20,収入計画!$C$23),MAX(0,収入計画!$D$6*0.5*(1+収入計画!$E$6)^(B16-1)),MAX(0,収入計画!$D$6*(1+収入計画!$E$6)^(B16-1))),IF(AND(E16&gt;=基本情報!$D$15,E16&lt;基本情報!$D$20),MAX(0,基本情報!$D$19*(収入計画!$D$6/収入計画!$C$6)),0)))</f>
        <v>268.87607154634128</v>
      </c>
      <c r="M16" s="170">
        <f>IF(OR(D16="",E16=""),"",IF(D16=基本情報!$C$15,基本情報!$C$16,0)+IF(E16=基本情報!$D$15,基本情報!$D$16,0))</f>
        <v>0</v>
      </c>
      <c r="N16" s="170" t="str">
        <f>IF(D16="","",IF(OR(D16&gt;=基本情報!$C$17,E16&gt;=基本情報!$D$17),MAX(0,IF(D16&gt;=基本情報!$C$17,基本情報!$C$18*12,0)+IF(AND(E16&lt;&gt;"",E16&gt;=基本情報!$D$17),基本情報!$D$18*12,0)),""))</f>
        <v/>
      </c>
      <c r="O16" s="170">
        <f t="shared" si="0"/>
        <v>60</v>
      </c>
      <c r="P16" s="205">
        <f t="shared" si="1"/>
        <v>770.68073682580666</v>
      </c>
      <c r="Q16" s="170">
        <f>IF(D16&lt;基本情報!$C$17,支出計画!$C$5*(1+支出計画!$D$5)^(B16-1),支出計画!$C$6*(1+支出計画!$D$6)^(D16-基本情報!$C$17))-IF(AND(F16&gt;=22,F16&lt;&gt;""),支出計画!$C$45,0)</f>
        <v>334.70050399959496</v>
      </c>
      <c r="R16" s="170">
        <f>IF(C16&lt;住宅ローン償還表!$C$9,支出計画!$C$7,0)</f>
        <v>0</v>
      </c>
      <c r="S16" s="170">
        <f>IFERROR(VLOOKUP(C16,住宅ローン償還表!$C$17:$H$46,6,FALSE()),0)</f>
        <v>181.70519999999999</v>
      </c>
      <c r="T16" s="194">
        <f>(IF(ライフイベント表!F15="",0,IF(AND(ライフイベント表!F15&gt;=0,ライフイベント表!F15&lt;=5),支出計画!$D$24,IF(AND(ライフイベント表!F15&gt;=6,ライフイベント表!F15&lt;=11),支出計画!$D$25,IF(AND(ライフイベント表!F15&gt;=12,ライフイベント表!F15&lt;=14),支出計画!$D$26,IF(AND(ライフイベント表!F15&gt;=15,ライフイベント表!F15&lt;=17),支出計画!$D$27,IF(ライフイベント表!F15=18,支出計画!$D$28,IF(AND(ライフイベント表!F15&gt;=19,ライフイベント表!F15&lt;=21),支出計画!$D$29,0)))))))+IF(ライフイベント表!G15="",0,IF(AND(ライフイベント表!G15&gt;=0,ライフイベント表!G15&lt;=5),支出計画!$D$24,IF(AND(ライフイベント表!G15&gt;=6,ライフイベント表!G15&lt;=11),支出計画!$D$25,IF(AND(ライフイベント表!G15&gt;=12,ライフイベント表!G15&lt;=14),支出計画!$D$26,IF(AND(ライフイベント表!G15&gt;=15,ライフイベント表!G15&lt;=17),支出計画!$D$27,IF(ライフイベント表!G15=18,支出計画!$D$28,IF(AND(ライフイベント表!G15&gt;=19,ライフイベント表!G15&lt;=21),支出計画!$D$29,0)))))))+IF(ライフイベント表!H15="",0,IF(AND(ライフイベント表!H15&gt;=0,ライフイベント表!H15&lt;=5),支出計画!$D$24,IF(AND(ライフイベント表!H15&gt;=6,ライフイベント表!H15&lt;=11),支出計画!$D$25,IF(AND(ライフイベント表!H15&gt;=12,ライフイベント表!H15&lt;=14),支出計画!$D$26,IF(AND(ライフイベント表!H15&gt;=15,ライフイベント表!H15&lt;=17),支出計画!$D$27,IF(ライフイベント表!H15=18,支出計画!$D$28,IF(AND(ライフイベント表!H15&gt;=19,ライフイベント表!H15&lt;=21),支出計画!$D$29,0)))))))+IF(ライフイベント表!I15="",0,IF(AND(ライフイベント表!I15&gt;=0,ライフイベント表!I15&lt;=5),支出計画!$D$24,IF(AND(ライフイベント表!I15&gt;=6,ライフイベント表!I15&lt;=11),支出計画!$D$25,IF(AND(ライフイベント表!I15&gt;=12,ライフイベント表!I15&lt;=14),支出計画!$D$26,IF(AND(ライフイベント表!I15&gt;=15,ライフイベント表!I15&lt;=17),支出計画!$D$27,IF(ライフイベント表!I15=18,支出計画!$D$28,IF(AND(ライフイベント表!I15&gt;=19,ライフイベント表!I15&lt;=21),支出計画!$D$29,0)))))))+IF(ライフイベント表!J15="",0,IF(AND(ライフイベント表!J15&gt;=0,ライフイベント表!J15&lt;=5),支出計画!$D$24,IF(AND(ライフイベント表!J15&gt;=6,ライフイベント表!J15&lt;=11),支出計画!$D$25,IF(AND(ライフイベント表!J15&gt;=12,ライフイベント表!J15&lt;=14),支出計画!$D$26,IF(AND(ライフイベント表!J15&gt;=15,ライフイベント表!J15&lt;=17),支出計画!$D$27,IF(ライフイベント表!J15=18,支出計画!$D$28,IF(AND(ライフイベント表!J15&gt;=19,ライフイベント表!J15&lt;=21),支出計画!$D$29,0))))))))*POWER(1.02,B16-1)</f>
        <v>248.6748616789304</v>
      </c>
      <c r="U16" s="170">
        <f>SUMPRODUCT((保険!$G$5:$G$12&lt;=C16)*(保険!$H$5:$H$12&gt;=C16)*保険!$F$5:$F$12)</f>
        <v>64.600000000000009</v>
      </c>
      <c r="V16" s="170">
        <f>支出計画!$C$9</f>
        <v>36</v>
      </c>
      <c r="W16" s="170">
        <f>IF(AND(C16&gt;=支出計画!$D$35,C16&lt;=支出計画!$F$35,MOD(C16-支出計画!$D$35,支出計画!$E$35)=0),支出計画!$C$35,0)+IF(AND(C16&gt;=支出計画!$D$36,C16&lt;=支出計画!$F$36,MOD(C16-支出計画!$D$36,支出計画!$E$36)=0),支出計画!$C$36,0)+IF(C16=支出計画!$D$37,支出計画!$C$37,0)+IF(C16=支出計画!$D$38,支出計画!$C$38,0)</f>
        <v>0</v>
      </c>
      <c r="X16" s="172">
        <f t="shared" si="2"/>
        <v>865.68056567852534</v>
      </c>
      <c r="Y16" s="172">
        <f t="shared" si="3"/>
        <v>-94.999828852718679</v>
      </c>
      <c r="Z16" s="172">
        <f>Z15*(1+金融資産!$C$15)+Y16</f>
        <v>514.7089248940772</v>
      </c>
      <c r="AA16" s="1"/>
      <c r="AB16" s="1"/>
    </row>
    <row r="17" spans="1:28" ht="15" customHeight="1">
      <c r="A17" s="1"/>
      <c r="B17" s="167">
        <v>13</v>
      </c>
      <c r="C17" s="168">
        <f>基本情報!$C$3+B17-1</f>
        <v>2034</v>
      </c>
      <c r="D17" s="200">
        <f>IF(基本情報!$D$6="","",C17-YEAR(基本情報!$D$6)-IF(OR(MONTH(基本情報!$D$6)&gt;1,DAY(基本情報!$D$6)&gt;1),1,0))</f>
        <v>47</v>
      </c>
      <c r="E17" s="168">
        <f>IF(基本情報!$D$7="","",C17-YEAR(基本情報!$D$7)-IF(OR(MONTH(基本情報!$D$7)&gt;1,DAY(基本情報!$D$7)&gt;1),1,0))</f>
        <v>46</v>
      </c>
      <c r="F17" s="169">
        <f>IF(OR(基本情報!$D$8="",C17&lt;=YEAR(基本情報!$D$8)),"",MAX(0,C17-YEAR(基本情報!$D$8)-IF(OR(MONTH(基本情報!$D$8)&gt;1,DAY(基本情報!$D$8)&gt;1),1,0)))</f>
        <v>15</v>
      </c>
      <c r="G17" s="169">
        <f>IF(OR(基本情報!$D$9="",C17&lt;=YEAR(基本情報!$D$9)),"",MAX(0,C17-YEAR(基本情報!$D$9)-IF(OR(MONTH(基本情報!$D$9)&gt;1,DAY(基本情報!$D$9)&gt;1),1,0)))</f>
        <v>13</v>
      </c>
      <c r="H17" s="169">
        <f>IF(OR(基本情報!$D$10="",C17&lt;=YEAR(基本情報!$D$10)),"",MAX(0,C17-YEAR(基本情報!$D$10)-IF(OR(MONTH(基本情報!$D$10)&gt;1,DAY(基本情報!$D$10)&gt;1),1,0)))</f>
        <v>6</v>
      </c>
      <c r="I17" s="169">
        <f>IF(OR(基本情報!$D$11="",C17&lt;=YEAR(基本情報!$D$11)),"",MAX(0,C17-YEAR(基本情報!$D$11)-IF(OR(MONTH(基本情報!$D$11)&gt;1,DAY(基本情報!$D$11)&gt;1),1,0)))</f>
        <v>4</v>
      </c>
      <c r="J17" s="169">
        <f>IF(OR(基本情報!$D$12="",C17&lt;=YEAR(基本情報!$D$12)),"",MAX(0,C17-YEAR(基本情報!$D$12)-IF(OR(MONTH(基本情報!$D$12)&gt;1,DAY(基本情報!$D$12)&gt;1),1,0)))</f>
        <v>2</v>
      </c>
      <c r="K17" s="197">
        <f>IF(D17="","",IF(D17&lt;基本情報!$C$15,MAX(0,収入計画!$D$5*(1+収入計画!$E$5)^(B17-1)),IF(AND(D17&gt;=基本情報!$C$15,D17&lt;基本情報!$C$20),MAX(0,基本情報!$C$19*(収入計画!$D$5/収入計画!$C$5)),0)))</f>
        <v>446.22271193226004</v>
      </c>
      <c r="L17" s="170">
        <f>IF(E17="","",IF(E17&lt;基本情報!$D$15,IF(E17&lt;MAX(収入計画!$C$11,収入計画!$C$14,収入計画!$C$17,収入計画!$C$20,収入計画!$C$23),MAX(0,収入計画!$D$6*0.5*(1+収入計画!$E$6)^(B17-1)),MAX(0,収入計画!$D$6*(1+収入計画!$E$6)^(B17-1))),IF(AND(E17&gt;=基本情報!$D$15,E17&lt;基本情報!$D$20),MAX(0,基本情報!$D$19*(収入計画!$D$6/収入計画!$C$6)),0)))</f>
        <v>271.56483226180472</v>
      </c>
      <c r="M17" s="170">
        <f>IF(OR(D17="",E17=""),"",IF(D17=基本情報!$C$15,基本情報!$C$16,0)+IF(E17=基本情報!$D$15,基本情報!$D$16,0))</f>
        <v>0</v>
      </c>
      <c r="N17" s="170" t="str">
        <f>IF(D17="","",IF(OR(D17&gt;=基本情報!$C$17,E17&gt;=基本情報!$D$17),MAX(0,IF(D17&gt;=基本情報!$C$17,基本情報!$C$18*12,0)+IF(AND(E17&lt;&gt;"",E17&gt;=基本情報!$D$17),基本情報!$D$18*12,0)),""))</f>
        <v/>
      </c>
      <c r="O17" s="170">
        <f t="shared" si="0"/>
        <v>60</v>
      </c>
      <c r="P17" s="205">
        <f t="shared" si="1"/>
        <v>777.78754419406482</v>
      </c>
      <c r="Q17" s="170">
        <f>IF(D17&lt;基本情報!$C$17,支出計画!$C$5*(1+支出計画!$D$5)^(B17-1),支出計画!$C$6*(1+支出計画!$D$6)^(D17-基本情報!$C$17))-IF(AND(F17&gt;=22,F17&lt;&gt;""),支出計画!$C$45,0)</f>
        <v>338.04750903959092</v>
      </c>
      <c r="R17" s="170">
        <f>IF(C17&lt;住宅ローン償還表!$C$9,支出計画!$C$7,0)</f>
        <v>0</v>
      </c>
      <c r="S17" s="170">
        <f>IFERROR(VLOOKUP(C17,住宅ローン償還表!$C$17:$H$46,6,FALSE()),0)</f>
        <v>181.70519999999999</v>
      </c>
      <c r="T17" s="194">
        <f>(IF(ライフイベント表!F16="",0,IF(AND(ライフイベント表!F16&gt;=0,ライフイベント表!F16&lt;=5),支出計画!$D$24,IF(AND(ライフイベント表!F16&gt;=6,ライフイベント表!F16&lt;=11),支出計画!$D$25,IF(AND(ライフイベント表!F16&gt;=12,ライフイベント表!F16&lt;=14),支出計画!$D$26,IF(AND(ライフイベント表!F16&gt;=15,ライフイベント表!F16&lt;=17),支出計画!$D$27,IF(ライフイベント表!F16=18,支出計画!$D$28,IF(AND(ライフイベント表!F16&gt;=19,ライフイベント表!F16&lt;=21),支出計画!$D$29,0)))))))+IF(ライフイベント表!G16="",0,IF(AND(ライフイベント表!G16&gt;=0,ライフイベント表!G16&lt;=5),支出計画!$D$24,IF(AND(ライフイベント表!G16&gt;=6,ライフイベント表!G16&lt;=11),支出計画!$D$25,IF(AND(ライフイベント表!G16&gt;=12,ライフイベント表!G16&lt;=14),支出計画!$D$26,IF(AND(ライフイベント表!G16&gt;=15,ライフイベント表!G16&lt;=17),支出計画!$D$27,IF(ライフイベント表!G16=18,支出計画!$D$28,IF(AND(ライフイベント表!G16&gt;=19,ライフイベント表!G16&lt;=21),支出計画!$D$29,0)))))))+IF(ライフイベント表!H16="",0,IF(AND(ライフイベント表!H16&gt;=0,ライフイベント表!H16&lt;=5),支出計画!$D$24,IF(AND(ライフイベント表!H16&gt;=6,ライフイベント表!H16&lt;=11),支出計画!$D$25,IF(AND(ライフイベント表!H16&gt;=12,ライフイベント表!H16&lt;=14),支出計画!$D$26,IF(AND(ライフイベント表!H16&gt;=15,ライフイベント表!H16&lt;=17),支出計画!$D$27,IF(ライフイベント表!H16=18,支出計画!$D$28,IF(AND(ライフイベント表!H16&gt;=19,ライフイベント表!H16&lt;=21),支出計画!$D$29,0)))))))+IF(ライフイベント表!I16="",0,IF(AND(ライフイベント表!I16&gt;=0,ライフイベント表!I16&lt;=5),支出計画!$D$24,IF(AND(ライフイベント表!I16&gt;=6,ライフイベント表!I16&lt;=11),支出計画!$D$25,IF(AND(ライフイベント表!I16&gt;=12,ライフイベント表!I16&lt;=14),支出計画!$D$26,IF(AND(ライフイベント表!I16&gt;=15,ライフイベント表!I16&lt;=17),支出計画!$D$27,IF(ライフイベント表!I16=18,支出計画!$D$28,IF(AND(ライフイベント表!I16&gt;=19,ライフイベント表!I16&lt;=21),支出計画!$D$29,0)))))))+IF(ライフイベント表!J16="",0,IF(AND(ライフイベント表!J16&gt;=0,ライフイベント表!J16&lt;=5),支出計画!$D$24,IF(AND(ライフイベント表!J16&gt;=6,ライフイベント表!J16&lt;=11),支出計画!$D$25,IF(AND(ライフイベント表!J16&gt;=12,ライフイベント表!J16&lt;=14),支出計画!$D$26,IF(AND(ライフイベント表!J16&gt;=15,ライフイベント表!J16&lt;=17),支出計画!$D$27,IF(ライフイベント表!J16=18,支出計画!$D$28,IF(AND(ライフイベント表!J16&gt;=19,ライフイベント表!J16&lt;=21),支出計画!$D$29,0))))))))*POWER(1.02,B17-1)</f>
        <v>311.98748146238614</v>
      </c>
      <c r="U17" s="170">
        <f>SUMPRODUCT((保険!$G$5:$G$12&lt;=C17)*(保険!$H$5:$H$12&gt;=C17)*保険!$F$5:$F$12)</f>
        <v>64.600000000000009</v>
      </c>
      <c r="V17" s="170">
        <f>支出計画!$C$9</f>
        <v>36</v>
      </c>
      <c r="W17" s="170">
        <f>IF(AND(C17&gt;=支出計画!$D$35,C17&lt;=支出計画!$F$35,MOD(C17-支出計画!$D$35,支出計画!$E$35)=0),支出計画!$C$35,0)+IF(AND(C17&gt;=支出計画!$D$36,C17&lt;=支出計画!$F$36,MOD(C17-支出計画!$D$36,支出計画!$E$36)=0),支出計画!$C$36,0)+IF(C17=支出計画!$D$37,支出計画!$C$37,0)+IF(C17=支出計画!$D$38,支出計画!$C$38,0)</f>
        <v>0</v>
      </c>
      <c r="X17" s="172">
        <f t="shared" si="2"/>
        <v>932.34019050197696</v>
      </c>
      <c r="Y17" s="172">
        <f t="shared" si="3"/>
        <v>-154.55264630791214</v>
      </c>
      <c r="Z17" s="172">
        <f>Z16*(1+金融資産!$C$15)+Y17</f>
        <v>362.72982321063535</v>
      </c>
      <c r="AA17" s="1"/>
      <c r="AB17" s="1"/>
    </row>
    <row r="18" spans="1:28" ht="15" customHeight="1">
      <c r="A18" s="1"/>
      <c r="B18" s="167">
        <v>14</v>
      </c>
      <c r="C18" s="168">
        <f>基本情報!$C$3+B18-1</f>
        <v>2035</v>
      </c>
      <c r="D18" s="200">
        <f>IF(基本情報!$D$6="","",C18-YEAR(基本情報!$D$6)-IF(OR(MONTH(基本情報!$D$6)&gt;1,DAY(基本情報!$D$6)&gt;1),1,0))</f>
        <v>48</v>
      </c>
      <c r="E18" s="168">
        <f>IF(基本情報!$D$7="","",C18-YEAR(基本情報!$D$7)-IF(OR(MONTH(基本情報!$D$7)&gt;1,DAY(基本情報!$D$7)&gt;1),1,0))</f>
        <v>47</v>
      </c>
      <c r="F18" s="169">
        <f>IF(OR(基本情報!$D$8="",C18&lt;=YEAR(基本情報!$D$8)),"",MAX(0,C18-YEAR(基本情報!$D$8)-IF(OR(MONTH(基本情報!$D$8)&gt;1,DAY(基本情報!$D$8)&gt;1),1,0)))</f>
        <v>16</v>
      </c>
      <c r="G18" s="169">
        <f>IF(OR(基本情報!$D$9="",C18&lt;=YEAR(基本情報!$D$9)),"",MAX(0,C18-YEAR(基本情報!$D$9)-IF(OR(MONTH(基本情報!$D$9)&gt;1,DAY(基本情報!$D$9)&gt;1),1,0)))</f>
        <v>14</v>
      </c>
      <c r="H18" s="169">
        <f>IF(OR(基本情報!$D$10="",C18&lt;=YEAR(基本情報!$D$10)),"",MAX(0,C18-YEAR(基本情報!$D$10)-IF(OR(MONTH(基本情報!$D$10)&gt;1,DAY(基本情報!$D$10)&gt;1),1,0)))</f>
        <v>7</v>
      </c>
      <c r="I18" s="169">
        <f>IF(OR(基本情報!$D$11="",C18&lt;=YEAR(基本情報!$D$11)),"",MAX(0,C18-YEAR(基本情報!$D$11)-IF(OR(MONTH(基本情報!$D$11)&gt;1,DAY(基本情報!$D$11)&gt;1),1,0)))</f>
        <v>5</v>
      </c>
      <c r="J18" s="169">
        <f>IF(OR(基本情報!$D$12="",C18&lt;=YEAR(基本情報!$D$12)),"",MAX(0,C18-YEAR(基本情報!$D$12)-IF(OR(MONTH(基本情報!$D$12)&gt;1,DAY(基本情報!$D$12)&gt;1),1,0)))</f>
        <v>3</v>
      </c>
      <c r="K18" s="197">
        <f>IF(D18="","",IF(D18&lt;基本情報!$C$15,MAX(0,収入計画!$D$5*(1+収入計画!$E$5)^(B18-1)),IF(AND(D18&gt;=基本情報!$C$15,D18&lt;基本情報!$C$20),MAX(0,基本情報!$C$19*(収入計画!$D$5/収入計画!$C$5)),0)))</f>
        <v>450.68493905158266</v>
      </c>
      <c r="L18" s="170">
        <f>IF(E18="","",IF(E18&lt;基本情報!$D$15,IF(E18&lt;MAX(収入計画!$C$11,収入計画!$C$14,収入計画!$C$17,収入計画!$C$20,収入計画!$C$23),MAX(0,収入計画!$D$6*0.5*(1+収入計画!$E$6)^(B18-1)),MAX(0,収入計画!$D$6*(1+収入計画!$E$6)^(B18-1))),IF(AND(E18&gt;=基本情報!$D$15,E18&lt;基本情報!$D$20),MAX(0,基本情報!$D$19*(収入計画!$D$6/収入計画!$C$6)),0)))</f>
        <v>274.28048058442278</v>
      </c>
      <c r="M18" s="170">
        <f>IF(OR(D18="",E18=""),"",IF(D18=基本情報!$C$15,基本情報!$C$16,0)+IF(E18=基本情報!$D$15,基本情報!$D$16,0))</f>
        <v>0</v>
      </c>
      <c r="N18" s="170" t="str">
        <f>IF(D18="","",IF(OR(D18&gt;=基本情報!$C$17,E18&gt;=基本情報!$D$17),MAX(0,IF(D18&gt;=基本情報!$C$17,基本情報!$C$18*12,0)+IF(AND(E18&lt;&gt;"",E18&gt;=基本情報!$D$17),基本情報!$D$18*12,0)),""))</f>
        <v/>
      </c>
      <c r="O18" s="170">
        <f t="shared" si="0"/>
        <v>48</v>
      </c>
      <c r="P18" s="205">
        <f t="shared" si="1"/>
        <v>772.96541963600544</v>
      </c>
      <c r="Q18" s="170">
        <f>IF(D18&lt;基本情報!$C$17,支出計画!$C$5*(1+支出計画!$D$5)^(B18-1),支出計画!$C$6*(1+支出計画!$D$6)^(D18-基本情報!$C$17))-IF(AND(F18&gt;=22,F18&lt;&gt;""),支出計画!$C$45,0)</f>
        <v>341.42798412998684</v>
      </c>
      <c r="R18" s="170">
        <f>IF(C18&lt;住宅ローン償還表!$C$9,支出計画!$C$7,0)</f>
        <v>0</v>
      </c>
      <c r="S18" s="170">
        <f>IFERROR(VLOOKUP(C18,住宅ローン償還表!$C$17:$H$46,6,FALSE()),0)</f>
        <v>181.70519999999999</v>
      </c>
      <c r="T18" s="194">
        <f>(IF(ライフイベント表!F17="",0,IF(AND(ライフイベント表!F17&gt;=0,ライフイベント表!F17&lt;=5),支出計画!$D$24,IF(AND(ライフイベント表!F17&gt;=6,ライフイベント表!F17&lt;=11),支出計画!$D$25,IF(AND(ライフイベント表!F17&gt;=12,ライフイベント表!F17&lt;=14),支出計画!$D$26,IF(AND(ライフイベント表!F17&gt;=15,ライフイベント表!F17&lt;=17),支出計画!$D$27,IF(ライフイベント表!F17=18,支出計画!$D$28,IF(AND(ライフイベント表!F17&gt;=19,ライフイベント表!F17&lt;=21),支出計画!$D$29,0)))))))+IF(ライフイベント表!G17="",0,IF(AND(ライフイベント表!G17&gt;=0,ライフイベント表!G17&lt;=5),支出計画!$D$24,IF(AND(ライフイベント表!G17&gt;=6,ライフイベント表!G17&lt;=11),支出計画!$D$25,IF(AND(ライフイベント表!G17&gt;=12,ライフイベント表!G17&lt;=14),支出計画!$D$26,IF(AND(ライフイベント表!G17&gt;=15,ライフイベント表!G17&lt;=17),支出計画!$D$27,IF(ライフイベント表!G17=18,支出計画!$D$28,IF(AND(ライフイベント表!G17&gt;=19,ライフイベント表!G17&lt;=21),支出計画!$D$29,0)))))))+IF(ライフイベント表!H17="",0,IF(AND(ライフイベント表!H17&gt;=0,ライフイベント表!H17&lt;=5),支出計画!$D$24,IF(AND(ライフイベント表!H17&gt;=6,ライフイベント表!H17&lt;=11),支出計画!$D$25,IF(AND(ライフイベント表!H17&gt;=12,ライフイベント表!H17&lt;=14),支出計画!$D$26,IF(AND(ライフイベント表!H17&gt;=15,ライフイベント表!H17&lt;=17),支出計画!$D$27,IF(ライフイベント表!H17=18,支出計画!$D$28,IF(AND(ライフイベント表!H17&gt;=19,ライフイベント表!H17&lt;=21),支出計画!$D$29,0)))))))+IF(ライフイベント表!I17="",0,IF(AND(ライフイベント表!I17&gt;=0,ライフイベント表!I17&lt;=5),支出計画!$D$24,IF(AND(ライフイベント表!I17&gt;=6,ライフイベント表!I17&lt;=11),支出計画!$D$25,IF(AND(ライフイベント表!I17&gt;=12,ライフイベント表!I17&lt;=14),支出計画!$D$26,IF(AND(ライフイベント表!I17&gt;=15,ライフイベント表!I17&lt;=17),支出計画!$D$27,IF(ライフイベント表!I17=18,支出計画!$D$28,IF(AND(ライフイベント表!I17&gt;=19,ライフイベント表!I17&lt;=21),支出計画!$D$29,0)))))))+IF(ライフイベント表!J17="",0,IF(AND(ライフイベント表!J17&gt;=0,ライフイベント表!J17&lt;=5),支出計画!$D$24,IF(AND(ライフイベント表!J17&gt;=6,ライフイベント表!J17&lt;=11),支出計画!$D$25,IF(AND(ライフイベント表!J17&gt;=12,ライフイベント表!J17&lt;=14),支出計画!$D$26,IF(AND(ライフイベント表!J17&gt;=15,ライフイベント表!J17&lt;=17),支出計画!$D$27,IF(ライフイベント表!J17=18,支出計画!$D$28,IF(AND(ライフイベント表!J17&gt;=19,ライフイベント表!J17&lt;=21),支出計画!$D$29,0))))))))*POWER(1.02,B18-1)</f>
        <v>318.22723109163383</v>
      </c>
      <c r="U18" s="170">
        <f>SUMPRODUCT((保険!$G$5:$G$12&lt;=C18)*(保険!$H$5:$H$12&gt;=C18)*保険!$F$5:$F$12)</f>
        <v>64.600000000000009</v>
      </c>
      <c r="V18" s="170">
        <f>支出計画!$C$9</f>
        <v>36</v>
      </c>
      <c r="W18" s="170">
        <f>IF(AND(C18&gt;=支出計画!$D$35,C18&lt;=支出計画!$F$35,MOD(C18-支出計画!$D$35,支出計画!$E$35)=0),支出計画!$C$35,0)+IF(AND(C18&gt;=支出計画!$D$36,C18&lt;=支出計画!$F$36,MOD(C18-支出計画!$D$36,支出計画!$E$36)=0),支出計画!$C$36,0)+IF(C18=支出計画!$D$37,支出計画!$C$37,0)+IF(C18=支出計画!$D$38,支出計画!$C$38,0)</f>
        <v>0</v>
      </c>
      <c r="X18" s="172">
        <f t="shared" si="2"/>
        <v>941.96041522162068</v>
      </c>
      <c r="Y18" s="172">
        <f t="shared" si="3"/>
        <v>-168.99499558561524</v>
      </c>
      <c r="Z18" s="172">
        <f>Z17*(1+金融資産!$C$15)+Y18</f>
        <v>195.54847674107322</v>
      </c>
      <c r="AA18" s="1"/>
      <c r="AB18" s="1"/>
    </row>
    <row r="19" spans="1:28" ht="15" customHeight="1">
      <c r="A19" s="1"/>
      <c r="B19" s="167">
        <v>15</v>
      </c>
      <c r="C19" s="168">
        <f>基本情報!$C$3+B19-1</f>
        <v>2036</v>
      </c>
      <c r="D19" s="200">
        <f>IF(基本情報!$D$6="","",C19-YEAR(基本情報!$D$6)-IF(OR(MONTH(基本情報!$D$6)&gt;1,DAY(基本情報!$D$6)&gt;1),1,0))</f>
        <v>49</v>
      </c>
      <c r="E19" s="168">
        <f>IF(基本情報!$D$7="","",C19-YEAR(基本情報!$D$7)-IF(OR(MONTH(基本情報!$D$7)&gt;1,DAY(基本情報!$D$7)&gt;1),1,0))</f>
        <v>48</v>
      </c>
      <c r="F19" s="169">
        <f>IF(OR(基本情報!$D$8="",C19&lt;=YEAR(基本情報!$D$8)),"",MAX(0,C19-YEAR(基本情報!$D$8)-IF(OR(MONTH(基本情報!$D$8)&gt;1,DAY(基本情報!$D$8)&gt;1),1,0)))</f>
        <v>17</v>
      </c>
      <c r="G19" s="169">
        <f>IF(OR(基本情報!$D$9="",C19&lt;=YEAR(基本情報!$D$9)),"",MAX(0,C19-YEAR(基本情報!$D$9)-IF(OR(MONTH(基本情報!$D$9)&gt;1,DAY(基本情報!$D$9)&gt;1),1,0)))</f>
        <v>15</v>
      </c>
      <c r="H19" s="169">
        <f>IF(OR(基本情報!$D$10="",C19&lt;=YEAR(基本情報!$D$10)),"",MAX(0,C19-YEAR(基本情報!$D$10)-IF(OR(MONTH(基本情報!$D$10)&gt;1,DAY(基本情報!$D$10)&gt;1),1,0)))</f>
        <v>8</v>
      </c>
      <c r="I19" s="169">
        <f>IF(OR(基本情報!$D$11="",C19&lt;=YEAR(基本情報!$D$11)),"",MAX(0,C19-YEAR(基本情報!$D$11)-IF(OR(MONTH(基本情報!$D$11)&gt;1,DAY(基本情報!$D$11)&gt;1),1,0)))</f>
        <v>6</v>
      </c>
      <c r="J19" s="169">
        <f>IF(OR(基本情報!$D$12="",C19&lt;=YEAR(基本情報!$D$12)),"",MAX(0,C19-YEAR(基本情報!$D$12)-IF(OR(MONTH(基本情報!$D$12)&gt;1,DAY(基本情報!$D$12)&gt;1),1,0)))</f>
        <v>4</v>
      </c>
      <c r="K19" s="197">
        <f>IF(D19="","",IF(D19&lt;基本情報!$C$15,MAX(0,収入計画!$D$5*(1+収入計画!$E$5)^(B19-1)),IF(AND(D19&gt;=基本情報!$C$15,D19&lt;基本情報!$C$20),MAX(0,基本情報!$C$19*(収入計画!$D$5/収入計画!$C$5)),0)))</f>
        <v>455.19178844209853</v>
      </c>
      <c r="L19" s="170">
        <f>IF(E19="","",IF(E19&lt;基本情報!$D$15,IF(E19&lt;MAX(収入計画!$C$11,収入計画!$C$14,収入計画!$C$17,収入計画!$C$20,収入計画!$C$23),MAX(0,収入計画!$D$6*0.5*(1+収入計画!$E$6)^(B19-1)),MAX(0,収入計画!$D$6*(1+収入計画!$E$6)^(B19-1))),IF(AND(E19&gt;=基本情報!$D$15,E19&lt;基本情報!$D$20),MAX(0,基本情報!$D$19*(収入計画!$D$6/収入計画!$C$6)),0)))</f>
        <v>277.02328539026706</v>
      </c>
      <c r="M19" s="170">
        <f>IF(OR(D19="",E19=""),"",IF(D19=基本情報!$C$15,基本情報!$C$16,0)+IF(E19=基本情報!$D$15,基本情報!$D$16,0))</f>
        <v>0</v>
      </c>
      <c r="N19" s="170" t="str">
        <f>IF(D19="","",IF(OR(D19&gt;=基本情報!$C$17,E19&gt;=基本情報!$D$17),MAX(0,IF(D19&gt;=基本情報!$C$17,基本情報!$C$18*12,0)+IF(AND(E19&lt;&gt;"",E19&gt;=基本情報!$D$17),基本情報!$D$18*12,0)),""))</f>
        <v/>
      </c>
      <c r="O19" s="170">
        <f t="shared" si="0"/>
        <v>148</v>
      </c>
      <c r="P19" s="205">
        <f t="shared" si="1"/>
        <v>880.21507383236553</v>
      </c>
      <c r="Q19" s="170">
        <f>IF(D19&lt;基本情報!$C$17,支出計画!$C$5*(1+支出計画!$D$5)^(B19-1),支出計画!$C$6*(1+支出計画!$D$6)^(D19-基本情報!$C$17))-IF(AND(F19&gt;=22,F19&lt;&gt;""),支出計画!$C$45,0)</f>
        <v>344.84226397128674</v>
      </c>
      <c r="R19" s="170">
        <f>IF(C19&lt;住宅ローン償還表!$C$9,支出計画!$C$7,0)</f>
        <v>0</v>
      </c>
      <c r="S19" s="170">
        <f>IFERROR(VLOOKUP(C19,住宅ローン償還表!$C$17:$H$46,6,FALSE()),0)</f>
        <v>181.70519999999999</v>
      </c>
      <c r="T19" s="194">
        <f>(IF(ライフイベント表!F18="",0,IF(AND(ライフイベント表!F18&gt;=0,ライフイベント表!F18&lt;=5),支出計画!$D$24,IF(AND(ライフイベント表!F18&gt;=6,ライフイベント表!F18&lt;=11),支出計画!$D$25,IF(AND(ライフイベント表!F18&gt;=12,ライフイベント表!F18&lt;=14),支出計画!$D$26,IF(AND(ライフイベント表!F18&gt;=15,ライフイベント表!F18&lt;=17),支出計画!$D$27,IF(ライフイベント表!F18=18,支出計画!$D$28,IF(AND(ライフイベント表!F18&gt;=19,ライフイベント表!F18&lt;=21),支出計画!$D$29,0)))))))+IF(ライフイベント表!G18="",0,IF(AND(ライフイベント表!G18&gt;=0,ライフイベント表!G18&lt;=5),支出計画!$D$24,IF(AND(ライフイベント表!G18&gt;=6,ライフイベント表!G18&lt;=11),支出計画!$D$25,IF(AND(ライフイベント表!G18&gt;=12,ライフイベント表!G18&lt;=14),支出計画!$D$26,IF(AND(ライフイベント表!G18&gt;=15,ライフイベント表!G18&lt;=17),支出計画!$D$27,IF(ライフイベント表!G18=18,支出計画!$D$28,IF(AND(ライフイベント表!G18&gt;=19,ライフイベント表!G18&lt;=21),支出計画!$D$29,0)))))))+IF(ライフイベント表!H18="",0,IF(AND(ライフイベント表!H18&gt;=0,ライフイベント表!H18&lt;=5),支出計画!$D$24,IF(AND(ライフイベント表!H18&gt;=6,ライフイベント表!H18&lt;=11),支出計画!$D$25,IF(AND(ライフイベント表!H18&gt;=12,ライフイベント表!H18&lt;=14),支出計画!$D$26,IF(AND(ライフイベント表!H18&gt;=15,ライフイベント表!H18&lt;=17),支出計画!$D$27,IF(ライフイベント表!H18=18,支出計画!$D$28,IF(AND(ライフイベント表!H18&gt;=19,ライフイベント表!H18&lt;=21),支出計画!$D$29,0)))))))+IF(ライフイベント表!I18="",0,IF(AND(ライフイベント表!I18&gt;=0,ライフイベント表!I18&lt;=5),支出計画!$D$24,IF(AND(ライフイベント表!I18&gt;=6,ライフイベント表!I18&lt;=11),支出計画!$D$25,IF(AND(ライフイベント表!I18&gt;=12,ライフイベント表!I18&lt;=14),支出計画!$D$26,IF(AND(ライフイベント表!I18&gt;=15,ライフイベント表!I18&lt;=17),支出計画!$D$27,IF(ライフイベント表!I18=18,支出計画!$D$28,IF(AND(ライフイベント表!I18&gt;=19,ライフイベント表!I18&lt;=21),支出計画!$D$29,0)))))))+IF(ライフイベント表!J18="",0,IF(AND(ライフイベント表!J18&gt;=0,ライフイベント表!J18&lt;=5),支出計画!$D$24,IF(AND(ライフイベント表!J18&gt;=6,ライフイベント表!J18&lt;=11),支出計画!$D$25,IF(AND(ライフイベント表!J18&gt;=12,ライフイベント表!J18&lt;=14),支出計画!$D$26,IF(AND(ライフイベント表!J18&gt;=15,ライフイベント表!J18&lt;=17),支出計画!$D$27,IF(ライフイベント表!J18=18,支出計画!$D$28,IF(AND(ライフイベント表!J18&gt;=19,ライフイベント表!J18&lt;=21),支出計画!$D$29,0))))))))*POWER(1.02,B19-1)</f>
        <v>385.28779881435867</v>
      </c>
      <c r="U19" s="170">
        <f>SUMPRODUCT((保険!$G$5:$G$12&lt;=C19)*(保険!$H$5:$H$12&gt;=C19)*保険!$F$5:$F$12)</f>
        <v>58.360000000000007</v>
      </c>
      <c r="V19" s="170">
        <f>支出計画!$C$9</f>
        <v>36</v>
      </c>
      <c r="W19" s="170">
        <f>IF(AND(C19&gt;=支出計画!$D$35,C19&lt;=支出計画!$F$35,MOD(C19-支出計画!$D$35,支出計画!$E$35)=0),支出計画!$C$35,0)+IF(AND(C19&gt;=支出計画!$D$36,C19&lt;=支出計画!$F$36,MOD(C19-支出計画!$D$36,支出計画!$E$36)=0),支出計画!$C$36,0)+IF(C19=支出計画!$D$37,支出計画!$C$37,0)+IF(C19=支出計画!$D$38,支出計画!$C$38,0)</f>
        <v>70</v>
      </c>
      <c r="X19" s="172">
        <f t="shared" si="2"/>
        <v>1076.1952627856454</v>
      </c>
      <c r="Y19" s="172">
        <f t="shared" si="3"/>
        <v>-195.98018895327982</v>
      </c>
      <c r="Z19" s="172">
        <f>Z18*(1+金融資産!$C$15)+Y19</f>
        <v>0.54603017149872812</v>
      </c>
      <c r="AA19" s="1"/>
      <c r="AB19" s="1"/>
    </row>
    <row r="20" spans="1:28" ht="15" customHeight="1">
      <c r="A20" s="1"/>
      <c r="B20" s="167">
        <v>16</v>
      </c>
      <c r="C20" s="168">
        <f>基本情報!$C$3+B20-1</f>
        <v>2037</v>
      </c>
      <c r="D20" s="200">
        <f>IF(基本情報!$D$6="","",C20-YEAR(基本情報!$D$6)-IF(OR(MONTH(基本情報!$D$6)&gt;1,DAY(基本情報!$D$6)&gt;1),1,0))</f>
        <v>50</v>
      </c>
      <c r="E20" s="168">
        <f>IF(基本情報!$D$7="","",C20-YEAR(基本情報!$D$7)-IF(OR(MONTH(基本情報!$D$7)&gt;1,DAY(基本情報!$D$7)&gt;1),1,0))</f>
        <v>49</v>
      </c>
      <c r="F20" s="169">
        <f>IF(OR(基本情報!$D$8="",C20&lt;=YEAR(基本情報!$D$8)),"",MAX(0,C20-YEAR(基本情報!$D$8)-IF(OR(MONTH(基本情報!$D$8)&gt;1,DAY(基本情報!$D$8)&gt;1),1,0)))</f>
        <v>18</v>
      </c>
      <c r="G20" s="169">
        <f>IF(OR(基本情報!$D$9="",C20&lt;=YEAR(基本情報!$D$9)),"",MAX(0,C20-YEAR(基本情報!$D$9)-IF(OR(MONTH(基本情報!$D$9)&gt;1,DAY(基本情報!$D$9)&gt;1),1,0)))</f>
        <v>16</v>
      </c>
      <c r="H20" s="169">
        <f>IF(OR(基本情報!$D$10="",C20&lt;=YEAR(基本情報!$D$10)),"",MAX(0,C20-YEAR(基本情報!$D$10)-IF(OR(MONTH(基本情報!$D$10)&gt;1,DAY(基本情報!$D$10)&gt;1),1,0)))</f>
        <v>9</v>
      </c>
      <c r="I20" s="169">
        <f>IF(OR(基本情報!$D$11="",C20&lt;=YEAR(基本情報!$D$11)),"",MAX(0,C20-YEAR(基本情報!$D$11)-IF(OR(MONTH(基本情報!$D$11)&gt;1,DAY(基本情報!$D$11)&gt;1),1,0)))</f>
        <v>7</v>
      </c>
      <c r="J20" s="169">
        <f>IF(OR(基本情報!$D$12="",C20&lt;=YEAR(基本情報!$D$12)),"",MAX(0,C20-YEAR(基本情報!$D$12)-IF(OR(MONTH(基本情報!$D$12)&gt;1,DAY(基本情報!$D$12)&gt;1),1,0)))</f>
        <v>5</v>
      </c>
      <c r="K20" s="197">
        <f>IF(D20="","",IF(D20&lt;基本情報!$C$15,MAX(0,収入計画!$D$5*(1+収入計画!$E$5)^(B20-1)),IF(AND(D20&gt;=基本情報!$C$15,D20&lt;基本情報!$C$20),MAX(0,基本情報!$C$19*(収入計画!$D$5/収入計画!$C$5)),0)))</f>
        <v>459.74370632651937</v>
      </c>
      <c r="L20" s="170">
        <f>IF(E20="","",IF(E20&lt;基本情報!$D$15,IF(E20&lt;MAX(収入計画!$C$11,収入計画!$C$14,収入計画!$C$17,収入計画!$C$20,収入計画!$C$23),MAX(0,収入計画!$D$6*0.5*(1+収入計画!$E$6)^(B20-1)),MAX(0,収入計画!$D$6*(1+収入計画!$E$6)^(B20-1))),IF(AND(E20&gt;=基本情報!$D$15,E20&lt;基本情報!$D$20),MAX(0,基本情報!$D$19*(収入計画!$D$6/収入計画!$C$6)),0)))</f>
        <v>279.7935182441696</v>
      </c>
      <c r="M20" s="170">
        <f>IF(OR(D20="",E20=""),"",IF(D20=基本情報!$C$15,基本情報!$C$16,0)+IF(E20=基本情報!$D$15,基本情報!$D$16,0))</f>
        <v>0</v>
      </c>
      <c r="N20" s="170" t="str">
        <f>IF(D20="","",IF(OR(D20&gt;=基本情報!$C$17,E20&gt;=基本情報!$D$17),MAX(0,IF(D20&gt;=基本情報!$C$17,基本情報!$C$18*12,0)+IF(AND(E20&lt;&gt;"",E20&gt;=基本情報!$D$17),基本情報!$D$18*12,0)),""))</f>
        <v/>
      </c>
      <c r="O20" s="170">
        <f t="shared" si="0"/>
        <v>36</v>
      </c>
      <c r="P20" s="205">
        <f t="shared" si="1"/>
        <v>775.53722457068898</v>
      </c>
      <c r="Q20" s="170">
        <f>IF(D20&lt;基本情報!$C$17,支出計画!$C$5*(1+支出計画!$D$5)^(B20-1),支出計画!$C$6*(1+支出計画!$D$6)^(D20-基本情報!$C$17))-IF(AND(F20&gt;=22,F20&lt;&gt;""),支出計画!$C$45,0)</f>
        <v>348.29068661099956</v>
      </c>
      <c r="R20" s="170">
        <f>IF(C20&lt;住宅ローン償還表!$C$9,支出計画!$C$7,0)</f>
        <v>0</v>
      </c>
      <c r="S20" s="170">
        <f>IFERROR(VLOOKUP(C20,住宅ローン償還表!$C$17:$H$46,6,FALSE()),0)</f>
        <v>181.70519999999999</v>
      </c>
      <c r="T20" s="194">
        <f>(IF(ライフイベント表!F19="",0,IF(AND(ライフイベント表!F19&gt;=0,ライフイベント表!F19&lt;=5),支出計画!$D$24,IF(AND(ライフイベント表!F19&gt;=6,ライフイベント表!F19&lt;=11),支出計画!$D$25,IF(AND(ライフイベント表!F19&gt;=12,ライフイベント表!F19&lt;=14),支出計画!$D$26,IF(AND(ライフイベント表!F19&gt;=15,ライフイベント表!F19&lt;=17),支出計画!$D$27,IF(ライフイベント表!F19=18,支出計画!$D$28,IF(AND(ライフイベント表!F19&gt;=19,ライフイベント表!F19&lt;=21),支出計画!$D$29,0)))))))+IF(ライフイベント表!G19="",0,IF(AND(ライフイベント表!G19&gt;=0,ライフイベント表!G19&lt;=5),支出計画!$D$24,IF(AND(ライフイベント表!G19&gt;=6,ライフイベント表!G19&lt;=11),支出計画!$D$25,IF(AND(ライフイベント表!G19&gt;=12,ライフイベント表!G19&lt;=14),支出計画!$D$26,IF(AND(ライフイベント表!G19&gt;=15,ライフイベント表!G19&lt;=17),支出計画!$D$27,IF(ライフイベント表!G19=18,支出計画!$D$28,IF(AND(ライフイベント表!G19&gt;=19,ライフイベント表!G19&lt;=21),支出計画!$D$29,0)))))))+IF(ライフイベント表!H19="",0,IF(AND(ライフイベント表!H19&gt;=0,ライフイベント表!H19&lt;=5),支出計画!$D$24,IF(AND(ライフイベント表!H19&gt;=6,ライフイベント表!H19&lt;=11),支出計画!$D$25,IF(AND(ライフイベント表!H19&gt;=12,ライフイベント表!H19&lt;=14),支出計画!$D$26,IF(AND(ライフイベント表!H19&gt;=15,ライフイベント表!H19&lt;=17),支出計画!$D$27,IF(ライフイベント表!H19=18,支出計画!$D$28,IF(AND(ライフイベント表!H19&gt;=19,ライフイベント表!H19&lt;=21),支出計画!$D$29,0)))))))+IF(ライフイベント表!I19="",0,IF(AND(ライフイベント表!I19&gt;=0,ライフイベント表!I19&lt;=5),支出計画!$D$24,IF(AND(ライフイベント表!I19&gt;=6,ライフイベント表!I19&lt;=11),支出計画!$D$25,IF(AND(ライフイベント表!I19&gt;=12,ライフイベント表!I19&lt;=14),支出計画!$D$26,IF(AND(ライフイベント表!I19&gt;=15,ライフイベント表!I19&lt;=17),支出計画!$D$27,IF(ライフイベント表!I19=18,支出計画!$D$28,IF(AND(ライフイベント表!I19&gt;=19,ライフイベント表!I19&lt;=21),支出計画!$D$29,0)))))))+IF(ライフイベント表!J19="",0,IF(AND(ライフイベント表!J19&gt;=0,ライフイベント表!J19&lt;=5),支出計画!$D$24,IF(AND(ライフイベント表!J19&gt;=6,ライフイベント表!J19&lt;=11),支出計画!$D$25,IF(AND(ライフイベント表!J19&gt;=12,ライフイベント表!J19&lt;=14),支出計画!$D$26,IF(AND(ライフイベント表!J19&gt;=15,ライフイベント表!J19&lt;=17),支出計画!$D$27,IF(ライフイベント表!J19=18,支出計画!$D$28,IF(AND(ライフイベント表!J19&gt;=19,ライフイベント表!J19&lt;=21),支出計画!$D$29,0))))))))*POWER(1.02,B20-1)</f>
        <v>442.79068330863851</v>
      </c>
      <c r="U20" s="170">
        <f>SUMPRODUCT((保険!$G$5:$G$12&lt;=C20)*(保険!$H$5:$H$12&gt;=C20)*保険!$F$5:$F$12)</f>
        <v>58.360000000000007</v>
      </c>
      <c r="V20" s="170">
        <f>支出計画!$C$9</f>
        <v>36</v>
      </c>
      <c r="W20" s="170">
        <f>IF(AND(C20&gt;=支出計画!$D$35,C20&lt;=支出計画!$F$35,MOD(C20-支出計画!$D$35,支出計画!$E$35)=0),支出計画!$C$35,0)+IF(AND(C20&gt;=支出計画!$D$36,C20&lt;=支出計画!$F$36,MOD(C20-支出計画!$D$36,支出計画!$E$36)=0),支出計画!$C$36,0)+IF(C20=支出計画!$D$37,支出計画!$C$37,0)+IF(C20=支出計画!$D$38,支出計画!$C$38,0)</f>
        <v>0</v>
      </c>
      <c r="X20" s="172">
        <f t="shared" si="2"/>
        <v>1067.1465699196381</v>
      </c>
      <c r="Y20" s="172">
        <f t="shared" si="3"/>
        <v>-291.60934534894909</v>
      </c>
      <c r="Z20" s="172">
        <f>Z19*(1+金融資産!$C$15)+Y20</f>
        <v>-291.06058502659289</v>
      </c>
      <c r="AA20" s="1"/>
      <c r="AB20" s="1"/>
    </row>
    <row r="21" spans="1:28" ht="15" customHeight="1">
      <c r="A21" s="1"/>
      <c r="B21" s="167">
        <v>17</v>
      </c>
      <c r="C21" s="168">
        <f>基本情報!$C$3+B21-1</f>
        <v>2038</v>
      </c>
      <c r="D21" s="200">
        <f>IF(基本情報!$D$6="","",C21-YEAR(基本情報!$D$6)-IF(OR(MONTH(基本情報!$D$6)&gt;1,DAY(基本情報!$D$6)&gt;1),1,0))</f>
        <v>51</v>
      </c>
      <c r="E21" s="168">
        <f>IF(基本情報!$D$7="","",C21-YEAR(基本情報!$D$7)-IF(OR(MONTH(基本情報!$D$7)&gt;1,DAY(基本情報!$D$7)&gt;1),1,0))</f>
        <v>50</v>
      </c>
      <c r="F21" s="169">
        <f>IF(OR(基本情報!$D$8="",C21&lt;=YEAR(基本情報!$D$8)),"",MAX(0,C21-YEAR(基本情報!$D$8)-IF(OR(MONTH(基本情報!$D$8)&gt;1,DAY(基本情報!$D$8)&gt;1),1,0)))</f>
        <v>19</v>
      </c>
      <c r="G21" s="169">
        <f>IF(OR(基本情報!$D$9="",C21&lt;=YEAR(基本情報!$D$9)),"",MAX(0,C21-YEAR(基本情報!$D$9)-IF(OR(MONTH(基本情報!$D$9)&gt;1,DAY(基本情報!$D$9)&gt;1),1,0)))</f>
        <v>17</v>
      </c>
      <c r="H21" s="169">
        <f>IF(OR(基本情報!$D$10="",C21&lt;=YEAR(基本情報!$D$10)),"",MAX(0,C21-YEAR(基本情報!$D$10)-IF(OR(MONTH(基本情報!$D$10)&gt;1,DAY(基本情報!$D$10)&gt;1),1,0)))</f>
        <v>10</v>
      </c>
      <c r="I21" s="169">
        <f>IF(OR(基本情報!$D$11="",C21&lt;=YEAR(基本情報!$D$11)),"",MAX(0,C21-YEAR(基本情報!$D$11)-IF(OR(MONTH(基本情報!$D$11)&gt;1,DAY(基本情報!$D$11)&gt;1),1,0)))</f>
        <v>8</v>
      </c>
      <c r="J21" s="169">
        <f>IF(OR(基本情報!$D$12="",C21&lt;=YEAR(基本情報!$D$12)),"",MAX(0,C21-YEAR(基本情報!$D$12)-IF(OR(MONTH(基本情報!$D$12)&gt;1,DAY(基本情報!$D$12)&gt;1),1,0)))</f>
        <v>6</v>
      </c>
      <c r="K21" s="197">
        <f>IF(D21="","",IF(D21&lt;基本情報!$C$15,MAX(0,収入計画!$D$5*(1+収入計画!$E$5)^(B21-1)),IF(AND(D21&gt;=基本情報!$C$15,D21&lt;基本情報!$C$20),MAX(0,基本情報!$C$19*(収入計画!$D$5/収入計画!$C$5)),0)))</f>
        <v>464.34114338978475</v>
      </c>
      <c r="L21" s="170">
        <f>IF(E21="","",IF(E21&lt;基本情報!$D$15,IF(E21&lt;MAX(収入計画!$C$11,収入計画!$C$14,収入計画!$C$17,収入計画!$C$20,収入計画!$C$23),MAX(0,収入計画!$D$6*0.5*(1+収入計画!$E$6)^(B21-1)),MAX(0,収入計画!$D$6*(1+収入計画!$E$6)^(B21-1))),IF(AND(E21&gt;=基本情報!$D$15,E21&lt;基本情報!$D$20),MAX(0,基本情報!$D$19*(収入計画!$D$6/収入計画!$C$6)),0)))</f>
        <v>282.59145342661139</v>
      </c>
      <c r="M21" s="170">
        <f>IF(OR(D21="",E21=""),"",IF(D21=基本情報!$C$15,基本情報!$C$16,0)+IF(E21=基本情報!$D$15,基本情報!$D$16,0))</f>
        <v>0</v>
      </c>
      <c r="N21" s="170" t="str">
        <f>IF(D21="","",IF(OR(D21&gt;=基本情報!$C$17,E21&gt;=基本情報!$D$17),MAX(0,IF(D21&gt;=基本情報!$C$17,基本情報!$C$18*12,0)+IF(AND(E21&lt;&gt;"",E21&gt;=基本情報!$D$17),基本情報!$D$18*12,0)),""))</f>
        <v/>
      </c>
      <c r="O21" s="170">
        <f t="shared" si="0"/>
        <v>136</v>
      </c>
      <c r="P21" s="205">
        <f t="shared" si="1"/>
        <v>882.9325968163962</v>
      </c>
      <c r="Q21" s="170">
        <f>IF(D21&lt;基本情報!$C$17,支出計画!$C$5*(1+支出計画!$D$5)^(B21-1),支出計画!$C$6*(1+支出計画!$D$6)^(D21-基本情報!$C$17))-IF(AND(F21&gt;=22,F21&lt;&gt;""),支出計画!$C$45,0)</f>
        <v>351.77359347710961</v>
      </c>
      <c r="R21" s="170">
        <f>IF(C21&lt;住宅ローン償還表!$C$9,支出計画!$C$7,0)</f>
        <v>0</v>
      </c>
      <c r="S21" s="170">
        <f>IFERROR(VLOOKUP(C21,住宅ローン償還表!$C$17:$H$46,6,FALSE()),0)</f>
        <v>181.70519999999999</v>
      </c>
      <c r="T21" s="194">
        <f>(IF(ライフイベント表!F20="",0,IF(AND(ライフイベント表!F20&gt;=0,ライフイベント表!F20&lt;=5),支出計画!$D$24,IF(AND(ライフイベント表!F20&gt;=6,ライフイベント表!F20&lt;=11),支出計画!$D$25,IF(AND(ライフイベント表!F20&gt;=12,ライフイベント表!F20&lt;=14),支出計画!$D$26,IF(AND(ライフイベント表!F20&gt;=15,ライフイベント表!F20&lt;=17),支出計画!$D$27,IF(ライフイベント表!F20=18,支出計画!$D$28,IF(AND(ライフイベント表!F20&gt;=19,ライフイベント表!F20&lt;=21),支出計画!$D$29,0)))))))+IF(ライフイベント表!G20="",0,IF(AND(ライフイベント表!G20&gt;=0,ライフイベント表!G20&lt;=5),支出計画!$D$24,IF(AND(ライフイベント表!G20&gt;=6,ライフイベント表!G20&lt;=11),支出計画!$D$25,IF(AND(ライフイベント表!G20&gt;=12,ライフイベント表!G20&lt;=14),支出計画!$D$26,IF(AND(ライフイベント表!G20&gt;=15,ライフイベント表!G20&lt;=17),支出計画!$D$27,IF(ライフイベント表!G20=18,支出計画!$D$28,IF(AND(ライフイベント表!G20&gt;=19,ライフイベント表!G20&lt;=21),支出計画!$D$29,0)))))))+IF(ライフイベント表!H20="",0,IF(AND(ライフイベント表!H20&gt;=0,ライフイベント表!H20&lt;=5),支出計画!$D$24,IF(AND(ライフイベント表!H20&gt;=6,ライフイベント表!H20&lt;=11),支出計画!$D$25,IF(AND(ライフイベント表!H20&gt;=12,ライフイベント表!H20&lt;=14),支出計画!$D$26,IF(AND(ライフイベント表!H20&gt;=15,ライフイベント表!H20&lt;=17),支出計画!$D$27,IF(ライフイベント表!H20=18,支出計画!$D$28,IF(AND(ライフイベント表!H20&gt;=19,ライフイベント表!H20&lt;=21),支出計画!$D$29,0)))))))+IF(ライフイベント表!I20="",0,IF(AND(ライフイベント表!I20&gt;=0,ライフイベント表!I20&lt;=5),支出計画!$D$24,IF(AND(ライフイベント表!I20&gt;=6,ライフイベント表!I20&lt;=11),支出計画!$D$25,IF(AND(ライフイベント表!I20&gt;=12,ライフイベント表!I20&lt;=14),支出計画!$D$26,IF(AND(ライフイベント表!I20&gt;=15,ライフイベント表!I20&lt;=17),支出計画!$D$27,IF(ライフイベント表!I20=18,支出計画!$D$28,IF(AND(ライフイベント表!I20&gt;=19,ライフイベント表!I20&lt;=21),支出計画!$D$29,0)))))))+IF(ライフイベント表!J20="",0,IF(AND(ライフイベント表!J20&gt;=0,ライフイベント表!J20&lt;=5),支出計画!$D$24,IF(AND(ライフイベント表!J20&gt;=6,ライフイベント表!J20&lt;=11),支出計画!$D$25,IF(AND(ライフイベント表!J20&gt;=12,ライフイベント表!J20&lt;=14),支出計画!$D$26,IF(AND(ライフイベント表!J20&gt;=15,ライフイベント表!J20&lt;=17),支出計画!$D$27,IF(ライフイベント表!J20=18,支出計画!$D$28,IF(AND(ライフイベント表!J20&gt;=19,ライフイベント表!J20&lt;=21),支出計画!$D$29,0))))))))*POWER(1.02,B21-1)</f>
        <v>414.58128293736485</v>
      </c>
      <c r="U21" s="170">
        <f>SUMPRODUCT((保険!$G$5:$G$12&lt;=C21)*(保険!$H$5:$H$12&gt;=C21)*保険!$F$5:$F$12)</f>
        <v>52.120000000000005</v>
      </c>
      <c r="V21" s="170">
        <f>支出計画!$C$9</f>
        <v>36</v>
      </c>
      <c r="W21" s="170">
        <f>IF(AND(C21&gt;=支出計画!$D$35,C21&lt;=支出計画!$F$35,MOD(C21-支出計画!$D$35,支出計画!$E$35)=0),支出計画!$C$35,0)+IF(AND(C21&gt;=支出計画!$D$36,C21&lt;=支出計画!$F$36,MOD(C21-支出計画!$D$36,支出計画!$E$36)=0),支出計画!$C$36,0)+IF(C21=支出計画!$D$37,支出計画!$C$37,0)+IF(C21=支出計画!$D$38,支出計画!$C$38,0)</f>
        <v>200</v>
      </c>
      <c r="X21" s="172">
        <f t="shared" si="2"/>
        <v>1236.1800764144746</v>
      </c>
      <c r="Y21" s="172">
        <f t="shared" si="3"/>
        <v>-353.24747959807837</v>
      </c>
      <c r="Z21" s="172">
        <f>Z20*(1+金融資産!$C$15)+Y21</f>
        <v>-645.76336754980412</v>
      </c>
      <c r="AA21" s="1"/>
      <c r="AB21" s="1"/>
    </row>
    <row r="22" spans="1:28" ht="15" customHeight="1">
      <c r="A22" s="1"/>
      <c r="B22" s="167">
        <v>18</v>
      </c>
      <c r="C22" s="168">
        <f>基本情報!$C$3+B22-1</f>
        <v>2039</v>
      </c>
      <c r="D22" s="200">
        <f>IF(基本情報!$D$6="","",C22-YEAR(基本情報!$D$6)-IF(OR(MONTH(基本情報!$D$6)&gt;1,DAY(基本情報!$D$6)&gt;1),1,0))</f>
        <v>52</v>
      </c>
      <c r="E22" s="168">
        <f>IF(基本情報!$D$7="","",C22-YEAR(基本情報!$D$7)-IF(OR(MONTH(基本情報!$D$7)&gt;1,DAY(基本情報!$D$7)&gt;1),1,0))</f>
        <v>51</v>
      </c>
      <c r="F22" s="169">
        <f>IF(OR(基本情報!$D$8="",C22&lt;=YEAR(基本情報!$D$8)),"",MAX(0,C22-YEAR(基本情報!$D$8)-IF(OR(MONTH(基本情報!$D$8)&gt;1,DAY(基本情報!$D$8)&gt;1),1,0)))</f>
        <v>20</v>
      </c>
      <c r="G22" s="169">
        <f>IF(OR(基本情報!$D$9="",C22&lt;=YEAR(基本情報!$D$9)),"",MAX(0,C22-YEAR(基本情報!$D$9)-IF(OR(MONTH(基本情報!$D$9)&gt;1,DAY(基本情報!$D$9)&gt;1),1,0)))</f>
        <v>18</v>
      </c>
      <c r="H22" s="169">
        <f>IF(OR(基本情報!$D$10="",C22&lt;=YEAR(基本情報!$D$10)),"",MAX(0,C22-YEAR(基本情報!$D$10)-IF(OR(MONTH(基本情報!$D$10)&gt;1,DAY(基本情報!$D$10)&gt;1),1,0)))</f>
        <v>11</v>
      </c>
      <c r="I22" s="169">
        <f>IF(OR(基本情報!$D$11="",C22&lt;=YEAR(基本情報!$D$11)),"",MAX(0,C22-YEAR(基本情報!$D$11)-IF(OR(MONTH(基本情報!$D$11)&gt;1,DAY(基本情報!$D$11)&gt;1),1,0)))</f>
        <v>9</v>
      </c>
      <c r="J22" s="169">
        <f>IF(OR(基本情報!$D$12="",C22&lt;=YEAR(基本情報!$D$12)),"",MAX(0,C22-YEAR(基本情報!$D$12)-IF(OR(MONTH(基本情報!$D$12)&gt;1,DAY(基本情報!$D$12)&gt;1),1,0)))</f>
        <v>7</v>
      </c>
      <c r="K22" s="197">
        <f>IF(D22="","",IF(D22&lt;基本情報!$C$15,MAX(0,収入計画!$D$5*(1+収入計画!$E$5)^(B22-1)),IF(AND(D22&gt;=基本情報!$C$15,D22&lt;基本情報!$C$20),MAX(0,基本情報!$C$19*(収入計画!$D$5/収入計画!$C$5)),0)))</f>
        <v>468.98455482368257</v>
      </c>
      <c r="L22" s="170">
        <f>IF(E22="","",IF(E22&lt;基本情報!$D$15,IF(E22&lt;MAX(収入計画!$C$11,収入計画!$C$14,収入計画!$C$17,収入計画!$C$20,収入計画!$C$23),MAX(0,収入計画!$D$6*0.5*(1+収入計画!$E$6)^(B22-1)),MAX(0,収入計画!$D$6*(1+収入計画!$E$6)^(B22-1))),IF(AND(E22&gt;=基本情報!$D$15,E22&lt;基本情報!$D$20),MAX(0,基本情報!$D$19*(収入計画!$D$6/収入計画!$C$6)),0)))</f>
        <v>285.41736796087753</v>
      </c>
      <c r="M22" s="170">
        <f>IF(OR(D22="",E22=""),"",IF(D22=基本情報!$C$15,基本情報!$C$16,0)+IF(E22=基本情報!$D$15,基本情報!$D$16,0))</f>
        <v>0</v>
      </c>
      <c r="N22" s="170" t="str">
        <f>IF(D22="","",IF(OR(D22&gt;=基本情報!$C$17,E22&gt;=基本情報!$D$17),MAX(0,IF(D22&gt;=基本情報!$C$17,基本情報!$C$18*12,0)+IF(AND(E22&lt;&gt;"",E22&gt;=基本情報!$D$17),基本情報!$D$18*12,0)),""))</f>
        <v/>
      </c>
      <c r="O22" s="170">
        <f t="shared" si="0"/>
        <v>36</v>
      </c>
      <c r="P22" s="205">
        <f t="shared" si="1"/>
        <v>790.40192278456016</v>
      </c>
      <c r="Q22" s="170">
        <f>IF(D22&lt;基本情報!$C$17,支出計画!$C$5*(1+支出計画!$D$5)^(B22-1),支出計画!$C$6*(1+支出計画!$D$6)^(D22-基本情報!$C$17))-IF(AND(F22&gt;=22,F22&lt;&gt;""),支出計画!$C$45,0)</f>
        <v>355.29132941188072</v>
      </c>
      <c r="R22" s="170">
        <f>IF(C22&lt;住宅ローン償還表!$C$9,支出計画!$C$7,0)</f>
        <v>0</v>
      </c>
      <c r="S22" s="170">
        <f>IFERROR(VLOOKUP(C22,住宅ローン償還表!$C$17:$H$46,6,FALSE()),0)</f>
        <v>181.70519999999999</v>
      </c>
      <c r="T22" s="194">
        <f>(IF(ライフイベント表!F21="",0,IF(AND(ライフイベント表!F21&gt;=0,ライフイベント表!F21&lt;=5),支出計画!$D$24,IF(AND(ライフイベント表!F21&gt;=6,ライフイベント表!F21&lt;=11),支出計画!$D$25,IF(AND(ライフイベント表!F21&gt;=12,ライフイベント表!F21&lt;=14),支出計画!$D$26,IF(AND(ライフイベント表!F21&gt;=15,ライフイベント表!F21&lt;=17),支出計画!$D$27,IF(ライフイベント表!F21=18,支出計画!$D$28,IF(AND(ライフイベント表!F21&gt;=19,ライフイベント表!F21&lt;=21),支出計画!$D$29,0)))))))+IF(ライフイベント表!G21="",0,IF(AND(ライフイベント表!G21&gt;=0,ライフイベント表!G21&lt;=5),支出計画!$D$24,IF(AND(ライフイベント表!G21&gt;=6,ライフイベント表!G21&lt;=11),支出計画!$D$25,IF(AND(ライフイベント表!G21&gt;=12,ライフイベント表!G21&lt;=14),支出計画!$D$26,IF(AND(ライフイベント表!G21&gt;=15,ライフイベント表!G21&lt;=17),支出計画!$D$27,IF(ライフイベント表!G21=18,支出計画!$D$28,IF(AND(ライフイベント表!G21&gt;=19,ライフイベント表!G21&lt;=21),支出計画!$D$29,0)))))))+IF(ライフイベント表!H21="",0,IF(AND(ライフイベント表!H21&gt;=0,ライフイベント表!H21&lt;=5),支出計画!$D$24,IF(AND(ライフイベント表!H21&gt;=6,ライフイベント表!H21&lt;=11),支出計画!$D$25,IF(AND(ライフイベント表!H21&gt;=12,ライフイベント表!H21&lt;=14),支出計画!$D$26,IF(AND(ライフイベント表!H21&gt;=15,ライフイベント表!H21&lt;=17),支出計画!$D$27,IF(ライフイベント表!H21=18,支出計画!$D$28,IF(AND(ライフイベント表!H21&gt;=19,ライフイベント表!H21&lt;=21),支出計画!$D$29,0)))))))+IF(ライフイベント表!I21="",0,IF(AND(ライフイベント表!I21&gt;=0,ライフイベント表!I21&lt;=5),支出計画!$D$24,IF(AND(ライフイベント表!I21&gt;=6,ライフイベント表!I21&lt;=11),支出計画!$D$25,IF(AND(ライフイベント表!I21&gt;=12,ライフイベント表!I21&lt;=14),支出計画!$D$26,IF(AND(ライフイベント表!I21&gt;=15,ライフイベント表!I21&lt;=17),支出計画!$D$27,IF(ライフイベント表!I21=18,支出計画!$D$28,IF(AND(ライフイベント表!I21&gt;=19,ライフイベント表!I21&lt;=21),支出計画!$D$29,0)))))))+IF(ライフイベント表!J21="",0,IF(AND(ライフイベント表!J21&gt;=0,ライフイベント表!J21&lt;=5),支出計画!$D$24,IF(AND(ライフイベント表!J21&gt;=6,ライフイベント表!J21&lt;=11),支出計画!$D$25,IF(AND(ライフイベント表!J21&gt;=12,ライフイベント表!J21&lt;=14),支出計画!$D$26,IF(AND(ライフイベント表!J21&gt;=15,ライフイベント表!J21&lt;=17),支出計画!$D$27,IF(ライフイベント表!J21=18,支出計画!$D$28,IF(AND(ライフイベント表!J21&gt;=19,ライフイベント表!J21&lt;=21),支出計画!$D$29,0))))))))*POWER(1.02,B22-1)</f>
        <v>474.68184110623184</v>
      </c>
      <c r="U22" s="170">
        <f>SUMPRODUCT((保険!$G$5:$G$12&lt;=C22)*(保険!$H$5:$H$12&gt;=C22)*保険!$F$5:$F$12)</f>
        <v>52.120000000000005</v>
      </c>
      <c r="V22" s="170">
        <f>支出計画!$C$9</f>
        <v>36</v>
      </c>
      <c r="W22" s="170">
        <f>IF(AND(C22&gt;=支出計画!$D$35,C22&lt;=支出計画!$F$35,MOD(C22-支出計画!$D$35,支出計画!$E$35)=0),支出計画!$C$35,0)+IF(AND(C22&gt;=支出計画!$D$36,C22&lt;=支出計画!$F$36,MOD(C22-支出計画!$D$36,支出計画!$E$36)=0),支出計画!$C$36,0)+IF(C22=支出計画!$D$37,支出計画!$C$37,0)+IF(C22=支出計画!$D$38,支出計画!$C$38,0)</f>
        <v>0</v>
      </c>
      <c r="X22" s="172">
        <f t="shared" si="2"/>
        <v>1099.7983705181127</v>
      </c>
      <c r="Y22" s="172">
        <f t="shared" si="3"/>
        <v>-309.39644773355258</v>
      </c>
      <c r="Z22" s="172">
        <f>Z21*(1+金融資産!$C$15)+Y22</f>
        <v>-958.38863212110562</v>
      </c>
      <c r="AA22" s="1"/>
      <c r="AB22" s="1"/>
    </row>
    <row r="23" spans="1:28" ht="15" customHeight="1">
      <c r="A23" s="1"/>
      <c r="B23" s="167">
        <v>19</v>
      </c>
      <c r="C23" s="168">
        <f>基本情報!$C$3+B23-1</f>
        <v>2040</v>
      </c>
      <c r="D23" s="200">
        <f>IF(基本情報!$D$6="","",C23-YEAR(基本情報!$D$6)-IF(OR(MONTH(基本情報!$D$6)&gt;1,DAY(基本情報!$D$6)&gt;1),1,0))</f>
        <v>53</v>
      </c>
      <c r="E23" s="168">
        <f>IF(基本情報!$D$7="","",C23-YEAR(基本情報!$D$7)-IF(OR(MONTH(基本情報!$D$7)&gt;1,DAY(基本情報!$D$7)&gt;1),1,0))</f>
        <v>52</v>
      </c>
      <c r="F23" s="169">
        <f>IF(OR(基本情報!$D$8="",C23&lt;=YEAR(基本情報!$D$8)),"",MAX(0,C23-YEAR(基本情報!$D$8)-IF(OR(MONTH(基本情報!$D$8)&gt;1,DAY(基本情報!$D$8)&gt;1),1,0)))</f>
        <v>21</v>
      </c>
      <c r="G23" s="169">
        <f>IF(OR(基本情報!$D$9="",C23&lt;=YEAR(基本情報!$D$9)),"",MAX(0,C23-YEAR(基本情報!$D$9)-IF(OR(MONTH(基本情報!$D$9)&gt;1,DAY(基本情報!$D$9)&gt;1),1,0)))</f>
        <v>19</v>
      </c>
      <c r="H23" s="169">
        <f>IF(OR(基本情報!$D$10="",C23&lt;=YEAR(基本情報!$D$10)),"",MAX(0,C23-YEAR(基本情報!$D$10)-IF(OR(MONTH(基本情報!$D$10)&gt;1,DAY(基本情報!$D$10)&gt;1),1,0)))</f>
        <v>12</v>
      </c>
      <c r="I23" s="169">
        <f>IF(OR(基本情報!$D$11="",C23&lt;=YEAR(基本情報!$D$11)),"",MAX(0,C23-YEAR(基本情報!$D$11)-IF(OR(MONTH(基本情報!$D$11)&gt;1,DAY(基本情報!$D$11)&gt;1),1,0)))</f>
        <v>10</v>
      </c>
      <c r="J23" s="169">
        <f>IF(OR(基本情報!$D$12="",C23&lt;=YEAR(基本情報!$D$12)),"",MAX(0,C23-YEAR(基本情報!$D$12)-IF(OR(MONTH(基本情報!$D$12)&gt;1,DAY(基本情報!$D$12)&gt;1),1,0)))</f>
        <v>8</v>
      </c>
      <c r="K23" s="197">
        <f>IF(D23="","",IF(D23&lt;基本情報!$C$15,MAX(0,収入計画!$D$5*(1+収入計画!$E$5)^(B23-1)),IF(AND(D23&gt;=基本情報!$C$15,D23&lt;基本情報!$C$20),MAX(0,基本情報!$C$19*(収入計画!$D$5/収入計画!$C$5)),0)))</f>
        <v>473.67440037191943</v>
      </c>
      <c r="L23" s="170">
        <f>IF(E23="","",IF(E23&lt;基本情報!$D$15,IF(E23&lt;MAX(収入計画!$C$11,収入計画!$C$14,収入計画!$C$17,収入計画!$C$20,収入計画!$C$23),MAX(0,収入計画!$D$6*0.5*(1+収入計画!$E$6)^(B23-1)),MAX(0,収入計画!$D$6*(1+収入計画!$E$6)^(B23-1))),IF(AND(E23&gt;=基本情報!$D$15,E23&lt;基本情報!$D$20),MAX(0,基本情報!$D$19*(収入計画!$D$6/収入計画!$C$6)),0)))</f>
        <v>288.2715416404863</v>
      </c>
      <c r="M23" s="170">
        <f>IF(OR(D23="",E23=""),"",IF(D23=基本情報!$C$15,基本情報!$C$16,0)+IF(E23=基本情報!$D$15,基本情報!$D$16,0))</f>
        <v>0</v>
      </c>
      <c r="N23" s="170" t="str">
        <f>IF(D23="","",IF(OR(D23&gt;=基本情報!$C$17,E23&gt;=基本情報!$D$17),MAX(0,IF(D23&gt;=基本情報!$C$17,基本情報!$C$18*12,0)+IF(AND(E23&lt;&gt;"",E23&gt;=基本情報!$D$17),基本情報!$D$18*12,0)),""))</f>
        <v/>
      </c>
      <c r="O23" s="170">
        <f t="shared" si="0"/>
        <v>36</v>
      </c>
      <c r="P23" s="205">
        <f t="shared" si="1"/>
        <v>797.94594201240579</v>
      </c>
      <c r="Q23" s="170">
        <f>IF(D23&lt;基本情報!$C$17,支出計画!$C$5*(1+支出計画!$D$5)^(B23-1),支出計画!$C$6*(1+支出計画!$D$6)^(D23-基本情報!$C$17))-IF(AND(F23&gt;=22,F23&lt;&gt;""),支出計画!$C$45,0)</f>
        <v>358.84424270599959</v>
      </c>
      <c r="R23" s="170">
        <f>IF(C23&lt;住宅ローン償還表!$C$9,支出計画!$C$7,0)</f>
        <v>0</v>
      </c>
      <c r="S23" s="170">
        <f>IFERROR(VLOOKUP(C23,住宅ローン償還表!$C$17:$H$46,6,FALSE()),0)</f>
        <v>181.70519999999999</v>
      </c>
      <c r="T23" s="194">
        <f>(IF(ライフイベント表!F22="",0,IF(AND(ライフイベント表!F22&gt;=0,ライフイベント表!F22&lt;=5),支出計画!$D$24,IF(AND(ライフイベント表!F22&gt;=6,ライフイベント表!F22&lt;=11),支出計画!$D$25,IF(AND(ライフイベント表!F22&gt;=12,ライフイベント表!F22&lt;=14),支出計画!$D$26,IF(AND(ライフイベント表!F22&gt;=15,ライフイベント表!F22&lt;=17),支出計画!$D$27,IF(ライフイベント表!F22=18,支出計画!$D$28,IF(AND(ライフイベント表!F22&gt;=19,ライフイベント表!F22&lt;=21),支出計画!$D$29,0)))))))+IF(ライフイベント表!G22="",0,IF(AND(ライフイベント表!G22&gt;=0,ライフイベント表!G22&lt;=5),支出計画!$D$24,IF(AND(ライフイベント表!G22&gt;=6,ライフイベント表!G22&lt;=11),支出計画!$D$25,IF(AND(ライフイベント表!G22&gt;=12,ライフイベント表!G22&lt;=14),支出計画!$D$26,IF(AND(ライフイベント表!G22&gt;=15,ライフイベント表!G22&lt;=17),支出計画!$D$27,IF(ライフイベント表!G22=18,支出計画!$D$28,IF(AND(ライフイベント表!G22&gt;=19,ライフイベント表!G22&lt;=21),支出計画!$D$29,0)))))))+IF(ライフイベント表!H22="",0,IF(AND(ライフイベント表!H22&gt;=0,ライフイベント表!H22&lt;=5),支出計画!$D$24,IF(AND(ライフイベント表!H22&gt;=6,ライフイベント表!H22&lt;=11),支出計画!$D$25,IF(AND(ライフイベント表!H22&gt;=12,ライフイベント表!H22&lt;=14),支出計画!$D$26,IF(AND(ライフイベント表!H22&gt;=15,ライフイベント表!H22&lt;=17),支出計画!$D$27,IF(ライフイベント表!H22=18,支出計画!$D$28,IF(AND(ライフイベント表!H22&gt;=19,ライフイベント表!H22&lt;=21),支出計画!$D$29,0)))))))+IF(ライフイベント表!I22="",0,IF(AND(ライフイベント表!I22&gt;=0,ライフイベント表!I22&lt;=5),支出計画!$D$24,IF(AND(ライフイベント表!I22&gt;=6,ライフイベント表!I22&lt;=11),支出計画!$D$25,IF(AND(ライフイベント表!I22&gt;=12,ライフイベント表!I22&lt;=14),支出計画!$D$26,IF(AND(ライフイベント表!I22&gt;=15,ライフイベント表!I22&lt;=17),支出計画!$D$27,IF(ライフイベント表!I22=18,支出計画!$D$28,IF(AND(ライフイベント表!I22&gt;=19,ライフイベント表!I22&lt;=21),支出計画!$D$29,0)))))))+IF(ライフイベント表!J22="",0,IF(AND(ライフイベント表!J22&gt;=0,ライフイベント表!J22&lt;=5),支出計画!$D$24,IF(AND(ライフイベント表!J22&gt;=6,ライフイベント表!J22&lt;=11),支出計画!$D$25,IF(AND(ライフイベント表!J22&gt;=12,ライフイベント表!J22&lt;=14),支出計画!$D$26,IF(AND(ライフイベント表!J22&gt;=15,ライフイベント表!J22&lt;=17),支出計画!$D$27,IF(ライフイベント表!J22=18,支出計画!$D$28,IF(AND(ライフイベント表!J22&gt;=19,ライフイベント表!J22&lt;=21),支出計画!$D$29,0))))))))*POWER(1.02,B23-1)</f>
        <v>472.74950794774628</v>
      </c>
      <c r="U23" s="170">
        <f>SUMPRODUCT((保険!$G$5:$G$12&lt;=C23)*(保険!$H$5:$H$12&gt;=C23)*保険!$F$5:$F$12)</f>
        <v>52.120000000000005</v>
      </c>
      <c r="V23" s="170">
        <f>支出計画!$C$9</f>
        <v>36</v>
      </c>
      <c r="W23" s="170">
        <f>IF(AND(C23&gt;=支出計画!$D$35,C23&lt;=支出計画!$F$35,MOD(C23-支出計画!$D$35,支出計画!$E$35)=0),支出計画!$C$35,0)+IF(AND(C23&gt;=支出計画!$D$36,C23&lt;=支出計画!$F$36,MOD(C23-支出計画!$D$36,支出計画!$E$36)=0),支出計画!$C$36,0)+IF(C23=支出計画!$D$37,支出計画!$C$37,0)+IF(C23=支出計画!$D$38,支出計画!$C$38,0)</f>
        <v>0</v>
      </c>
      <c r="X23" s="172">
        <f t="shared" si="2"/>
        <v>1101.4189506537459</v>
      </c>
      <c r="Y23" s="172">
        <f t="shared" si="3"/>
        <v>-303.47300864134013</v>
      </c>
      <c r="Z23" s="172">
        <f>Z22*(1+金融資産!$C$15)+Y23</f>
        <v>-1266.6535839230512</v>
      </c>
      <c r="AA23" s="1"/>
      <c r="AB23" s="1"/>
    </row>
    <row r="24" spans="1:28" ht="15" customHeight="1">
      <c r="A24" s="1"/>
      <c r="B24" s="167">
        <v>20</v>
      </c>
      <c r="C24" s="168">
        <f>基本情報!$C$3+B24-1</f>
        <v>2041</v>
      </c>
      <c r="D24" s="200">
        <f>IF(基本情報!$D$6="","",C24-YEAR(基本情報!$D$6)-IF(OR(MONTH(基本情報!$D$6)&gt;1,DAY(基本情報!$D$6)&gt;1),1,0))</f>
        <v>54</v>
      </c>
      <c r="E24" s="168">
        <f>IF(基本情報!$D$7="","",C24-YEAR(基本情報!$D$7)-IF(OR(MONTH(基本情報!$D$7)&gt;1,DAY(基本情報!$D$7)&gt;1),1,0))</f>
        <v>53</v>
      </c>
      <c r="F24" s="169">
        <f>IF(OR(基本情報!$D$8="",C24&lt;=YEAR(基本情報!$D$8)),"",MAX(0,C24-YEAR(基本情報!$D$8)-IF(OR(MONTH(基本情報!$D$8)&gt;1,DAY(基本情報!$D$8)&gt;1),1,0)))</f>
        <v>22</v>
      </c>
      <c r="G24" s="169">
        <f>IF(OR(基本情報!$D$9="",C24&lt;=YEAR(基本情報!$D$9)),"",MAX(0,C24-YEAR(基本情報!$D$9)-IF(OR(MONTH(基本情報!$D$9)&gt;1,DAY(基本情報!$D$9)&gt;1),1,0)))</f>
        <v>20</v>
      </c>
      <c r="H24" s="169">
        <f>IF(OR(基本情報!$D$10="",C24&lt;=YEAR(基本情報!$D$10)),"",MAX(0,C24-YEAR(基本情報!$D$10)-IF(OR(MONTH(基本情報!$D$10)&gt;1,DAY(基本情報!$D$10)&gt;1),1,0)))</f>
        <v>13</v>
      </c>
      <c r="I24" s="169">
        <f>IF(OR(基本情報!$D$11="",C24&lt;=YEAR(基本情報!$D$11)),"",MAX(0,C24-YEAR(基本情報!$D$11)-IF(OR(MONTH(基本情報!$D$11)&gt;1,DAY(基本情報!$D$11)&gt;1),1,0)))</f>
        <v>11</v>
      </c>
      <c r="J24" s="169">
        <f>IF(OR(基本情報!$D$12="",C24&lt;=YEAR(基本情報!$D$12)),"",MAX(0,C24-YEAR(基本情報!$D$12)-IF(OR(MONTH(基本情報!$D$12)&gt;1,DAY(基本情報!$D$12)&gt;1),1,0)))</f>
        <v>9</v>
      </c>
      <c r="K24" s="197">
        <f>IF(D24="","",IF(D24&lt;基本情報!$C$15,MAX(0,収入計画!$D$5*(1+収入計画!$E$5)^(B24-1)),IF(AND(D24&gt;=基本情報!$C$15,D24&lt;基本情報!$C$20),MAX(0,基本情報!$C$19*(収入計画!$D$5/収入計画!$C$5)),0)))</f>
        <v>478.41114437563851</v>
      </c>
      <c r="L24" s="170">
        <f>IF(E24="","",IF(E24&lt;基本情報!$D$15,IF(E24&lt;MAX(収入計画!$C$11,収入計画!$C$14,収入計画!$C$17,収入計画!$C$20,収入計画!$C$23),MAX(0,収入計画!$D$6*0.5*(1+収入計画!$E$6)^(B24-1)),MAX(0,収入計画!$D$6*(1+収入計画!$E$6)^(B24-1))),IF(AND(E24&gt;=基本情報!$D$15,E24&lt;基本情報!$D$20),MAX(0,基本情報!$D$19*(収入計画!$D$6/収入計画!$C$6)),0)))</f>
        <v>291.15425705689114</v>
      </c>
      <c r="M24" s="170">
        <f>IF(OR(D24="",E24=""),"",IF(D24=基本情報!$C$15,基本情報!$C$16,0)+IF(E24=基本情報!$D$15,基本情報!$D$16,0))</f>
        <v>0</v>
      </c>
      <c r="N24" s="170" t="str">
        <f>IF(D24="","",IF(OR(D24&gt;=基本情報!$C$17,E24&gt;=基本情報!$D$17),MAX(0,IF(D24&gt;=基本情報!$C$17,基本情報!$C$18*12,0)+IF(AND(E24&lt;&gt;"",E24&gt;=基本情報!$D$17),基本情報!$D$18*12,0)),""))</f>
        <v/>
      </c>
      <c r="O24" s="170">
        <f t="shared" si="0"/>
        <v>36</v>
      </c>
      <c r="P24" s="205">
        <f t="shared" si="1"/>
        <v>805.5654014325296</v>
      </c>
      <c r="Q24" s="170">
        <f>IF(D24&lt;基本情報!$C$17,支出計画!$C$5*(1+支出計画!$D$5)^(B24-1),支出計画!$C$6*(1+支出計画!$D$6)^(D24-基本情報!$C$17))-IF(AND(F24&gt;=22,F24&lt;&gt;""),支出計画!$C$45,0)</f>
        <v>326.43268513305946</v>
      </c>
      <c r="R24" s="170">
        <f>IF(C24&lt;住宅ローン償還表!$C$9,支出計画!$C$7,0)</f>
        <v>0</v>
      </c>
      <c r="S24" s="170">
        <f>IFERROR(VLOOKUP(C24,住宅ローン償還表!$C$17:$H$46,6,FALSE()),0)</f>
        <v>181.70519999999999</v>
      </c>
      <c r="T24" s="194">
        <f>(IF(ライフイベント表!F23="",0,IF(AND(ライフイベント表!F23&gt;=0,ライフイベント表!F23&lt;=5),支出計画!$D$24,IF(AND(ライフイベント表!F23&gt;=6,ライフイベント表!F23&lt;=11),支出計画!$D$25,IF(AND(ライフイベント表!F23&gt;=12,ライフイベント表!F23&lt;=14),支出計画!$D$26,IF(AND(ライフイベント表!F23&gt;=15,ライフイベント表!F23&lt;=17),支出計画!$D$27,IF(ライフイベント表!F23=18,支出計画!$D$28,IF(AND(ライフイベント表!F23&gt;=19,ライフイベント表!F23&lt;=21),支出計画!$D$29,0)))))))+IF(ライフイベント表!G23="",0,IF(AND(ライフイベント表!G23&gt;=0,ライフイベント表!G23&lt;=5),支出計画!$D$24,IF(AND(ライフイベント表!G23&gt;=6,ライフイベント表!G23&lt;=11),支出計画!$D$25,IF(AND(ライフイベント表!G23&gt;=12,ライフイベント表!G23&lt;=14),支出計画!$D$26,IF(AND(ライフイベント表!G23&gt;=15,ライフイベント表!G23&lt;=17),支出計画!$D$27,IF(ライフイベント表!G23=18,支出計画!$D$28,IF(AND(ライフイベント表!G23&gt;=19,ライフイベント表!G23&lt;=21),支出計画!$D$29,0)))))))+IF(ライフイベント表!H23="",0,IF(AND(ライフイベント表!H23&gt;=0,ライフイベント表!H23&lt;=5),支出計画!$D$24,IF(AND(ライフイベント表!H23&gt;=6,ライフイベント表!H23&lt;=11),支出計画!$D$25,IF(AND(ライフイベント表!H23&gt;=12,ライフイベント表!H23&lt;=14),支出計画!$D$26,IF(AND(ライフイベント表!H23&gt;=15,ライフイベント表!H23&lt;=17),支出計画!$D$27,IF(ライフイベント表!H23=18,支出計画!$D$28,IF(AND(ライフイベント表!H23&gt;=19,ライフイベント表!H23&lt;=21),支出計画!$D$29,0)))))))+IF(ライフイベント表!I23="",0,IF(AND(ライフイベント表!I23&gt;=0,ライフイベント表!I23&lt;=5),支出計画!$D$24,IF(AND(ライフイベント表!I23&gt;=6,ライフイベント表!I23&lt;=11),支出計画!$D$25,IF(AND(ライフイベント表!I23&gt;=12,ライフイベント表!I23&lt;=14),支出計画!$D$26,IF(AND(ライフイベント表!I23&gt;=15,ライフイベント表!I23&lt;=17),支出計画!$D$27,IF(ライフイベント表!I23=18,支出計画!$D$28,IF(AND(ライフイベント表!I23&gt;=19,ライフイベント表!I23&lt;=21),支出計画!$D$29,0)))))))+IF(ライフイベント表!J23="",0,IF(AND(ライフイベント表!J23&gt;=0,ライフイベント表!J23&lt;=5),支出計画!$D$24,IF(AND(ライフイベント表!J23&gt;=6,ライフイベント表!J23&lt;=11),支出計画!$D$25,IF(AND(ライフイベント表!J23&gt;=12,ライフイベント表!J23&lt;=14),支出計画!$D$26,IF(AND(ライフイベント表!J23&gt;=15,ライフイベント表!J23&lt;=17),支出計画!$D$27,IF(ライフイベント表!J23=18,支出計画!$D$28,IF(AND(ライフイベント表!J23&gt;=19,ライフイベント表!J23&lt;=21),支出計画!$D$29,0))))))))*POWER(1.02,B24-1)</f>
        <v>323.41208030117116</v>
      </c>
      <c r="U24" s="170">
        <f>SUMPRODUCT((保険!$G$5:$G$12&lt;=C24)*(保険!$H$5:$H$12&gt;=C24)*保険!$F$5:$F$12)</f>
        <v>52.120000000000005</v>
      </c>
      <c r="V24" s="170">
        <f>支出計画!$C$9</f>
        <v>36</v>
      </c>
      <c r="W24" s="170">
        <f>IF(AND(C24&gt;=支出計画!$D$35,C24&lt;=支出計画!$F$35,MOD(C24-支出計画!$D$35,支出計画!$E$35)=0),支出計画!$C$35,0)+IF(AND(C24&gt;=支出計画!$D$36,C24&lt;=支出計画!$F$36,MOD(C24-支出計画!$D$36,支出計画!$E$36)=0),支出計画!$C$36,0)+IF(C24=支出計画!$D$37,支出計画!$C$37,0)+IF(C24=支出計画!$D$38,支出計画!$C$38,0)</f>
        <v>70</v>
      </c>
      <c r="X24" s="172">
        <f t="shared" si="2"/>
        <v>989.66996543423068</v>
      </c>
      <c r="Y24" s="172">
        <f t="shared" si="3"/>
        <v>-184.10456400170108</v>
      </c>
      <c r="Z24" s="172">
        <f>Z23*(1+金融資産!$C$15)+Y24</f>
        <v>-1457.0914158443675</v>
      </c>
      <c r="AA24" s="1"/>
      <c r="AB24" s="1"/>
    </row>
    <row r="25" spans="1:28" ht="15" customHeight="1">
      <c r="A25" s="1"/>
      <c r="B25" s="167">
        <v>21</v>
      </c>
      <c r="C25" s="168">
        <f>基本情報!$C$3+B25-1</f>
        <v>2042</v>
      </c>
      <c r="D25" s="200">
        <f>IF(基本情報!$D$6="","",C25-YEAR(基本情報!$D$6)-IF(OR(MONTH(基本情報!$D$6)&gt;1,DAY(基本情報!$D$6)&gt;1),1,0))</f>
        <v>55</v>
      </c>
      <c r="E25" s="168">
        <f>IF(基本情報!$D$7="","",C25-YEAR(基本情報!$D$7)-IF(OR(MONTH(基本情報!$D$7)&gt;1,DAY(基本情報!$D$7)&gt;1),1,0))</f>
        <v>54</v>
      </c>
      <c r="F25" s="169">
        <f>IF(OR(基本情報!$D$8="",C25&lt;=YEAR(基本情報!$D$8)),"",MAX(0,C25-YEAR(基本情報!$D$8)-IF(OR(MONTH(基本情報!$D$8)&gt;1,DAY(基本情報!$D$8)&gt;1),1,0)))</f>
        <v>23</v>
      </c>
      <c r="G25" s="169">
        <f>IF(OR(基本情報!$D$9="",C25&lt;=YEAR(基本情報!$D$9)),"",MAX(0,C25-YEAR(基本情報!$D$9)-IF(OR(MONTH(基本情報!$D$9)&gt;1,DAY(基本情報!$D$9)&gt;1),1,0)))</f>
        <v>21</v>
      </c>
      <c r="H25" s="169">
        <f>IF(OR(基本情報!$D$10="",C25&lt;=YEAR(基本情報!$D$10)),"",MAX(0,C25-YEAR(基本情報!$D$10)-IF(OR(MONTH(基本情報!$D$10)&gt;1,DAY(基本情報!$D$10)&gt;1),1,0)))</f>
        <v>14</v>
      </c>
      <c r="I25" s="169">
        <f>IF(OR(基本情報!$D$11="",C25&lt;=YEAR(基本情報!$D$11)),"",MAX(0,C25-YEAR(基本情報!$D$11)-IF(OR(MONTH(基本情報!$D$11)&gt;1,DAY(基本情報!$D$11)&gt;1),1,0)))</f>
        <v>12</v>
      </c>
      <c r="J25" s="169">
        <f>IF(OR(基本情報!$D$12="",C25&lt;=YEAR(基本情報!$D$12)),"",MAX(0,C25-YEAR(基本情報!$D$12)-IF(OR(MONTH(基本情報!$D$12)&gt;1,DAY(基本情報!$D$12)&gt;1),1,0)))</f>
        <v>10</v>
      </c>
      <c r="K25" s="197">
        <f>IF(D25="","",IF(D25&lt;基本情報!$C$15,MAX(0,収入計画!$D$5*(1+収入計画!$E$5)^(B25-1)),IF(AND(D25&gt;=基本情報!$C$15,D25&lt;基本情報!$C$20),MAX(0,基本情報!$C$19*(収入計画!$D$5/収入計画!$C$5)),0)))</f>
        <v>483.19525581939496</v>
      </c>
      <c r="L25" s="170">
        <f>IF(E25="","",IF(E25&lt;基本情報!$D$15,IF(E25&lt;MAX(収入計画!$C$11,収入計画!$C$14,収入計画!$C$17,収入計画!$C$20,収入計画!$C$23),MAX(0,収入計画!$D$6*0.5*(1+収入計画!$E$6)^(B25-1)),MAX(0,収入計画!$D$6*(1+収入計画!$E$6)^(B25-1))),IF(AND(E25&gt;=基本情報!$D$15,E25&lt;基本情報!$D$20),MAX(0,基本情報!$D$19*(収入計画!$D$6/収入計画!$C$6)),0)))</f>
        <v>294.06579962746008</v>
      </c>
      <c r="M25" s="170">
        <f>IF(OR(D25="",E25=""),"",IF(D25=基本情報!$C$15,基本情報!$C$16,0)+IF(E25=基本情報!$D$15,基本情報!$D$16,0))</f>
        <v>0</v>
      </c>
      <c r="N25" s="170" t="str">
        <f>IF(D25="","",IF(OR(D25&gt;=基本情報!$C$17,E25&gt;=基本情報!$D$17),MAX(0,IF(D25&gt;=基本情報!$C$17,基本情報!$C$18*12,0)+IF(AND(E25&lt;&gt;"",E25&gt;=基本情報!$D$17),基本情報!$D$18*12,0)),""))</f>
        <v/>
      </c>
      <c r="O25" s="170">
        <f t="shared" si="0"/>
        <v>36</v>
      </c>
      <c r="P25" s="205">
        <f t="shared" si="1"/>
        <v>813.26105544685504</v>
      </c>
      <c r="Q25" s="170">
        <f>IF(D25&lt;基本情報!$C$17,支出計画!$C$5*(1+支出計画!$D$5)^(B25-1),支出計画!$C$6*(1+支出計画!$D$6)^(D25-基本情報!$C$17))-IF(AND(F25&gt;=22,F25&lt;&gt;""),支出計画!$C$45,0)</f>
        <v>330.0570119843901</v>
      </c>
      <c r="R25" s="170">
        <f>IF(C25&lt;住宅ローン償還表!$C$9,支出計画!$C$7,0)</f>
        <v>0</v>
      </c>
      <c r="S25" s="170">
        <f>IFERROR(VLOOKUP(C25,住宅ローン償還表!$C$17:$H$46,6,FALSE()),0)</f>
        <v>181.70519999999999</v>
      </c>
      <c r="T25" s="194">
        <f>(IF(ライフイベント表!F24="",0,IF(AND(ライフイベント表!F24&gt;=0,ライフイベント表!F24&lt;=5),支出計画!$D$24,IF(AND(ライフイベント表!F24&gt;=6,ライフイベント表!F24&lt;=11),支出計画!$D$25,IF(AND(ライフイベント表!F24&gt;=12,ライフイベント表!F24&lt;=14),支出計画!$D$26,IF(AND(ライフイベント表!F24&gt;=15,ライフイベント表!F24&lt;=17),支出計画!$D$27,IF(ライフイベント表!F24=18,支出計画!$D$28,IF(AND(ライフイベント表!F24&gt;=19,ライフイベント表!F24&lt;=21),支出計画!$D$29,0)))))))+IF(ライフイベント表!G24="",0,IF(AND(ライフイベント表!G24&gt;=0,ライフイベント表!G24&lt;=5),支出計画!$D$24,IF(AND(ライフイベント表!G24&gt;=6,ライフイベント表!G24&lt;=11),支出計画!$D$25,IF(AND(ライフイベント表!G24&gt;=12,ライフイベント表!G24&lt;=14),支出計画!$D$26,IF(AND(ライフイベント表!G24&gt;=15,ライフイベント表!G24&lt;=17),支出計画!$D$27,IF(ライフイベント表!G24=18,支出計画!$D$28,IF(AND(ライフイベント表!G24&gt;=19,ライフイベント表!G24&lt;=21),支出計画!$D$29,0)))))))+IF(ライフイベント表!H24="",0,IF(AND(ライフイベント表!H24&gt;=0,ライフイベント表!H24&lt;=5),支出計画!$D$24,IF(AND(ライフイベント表!H24&gt;=6,ライフイベント表!H24&lt;=11),支出計画!$D$25,IF(AND(ライフイベント表!H24&gt;=12,ライフイベント表!H24&lt;=14),支出計画!$D$26,IF(AND(ライフイベント表!H24&gt;=15,ライフイベント表!H24&lt;=17),支出計画!$D$27,IF(ライフイベント表!H24=18,支出計画!$D$28,IF(AND(ライフイベント表!H24&gt;=19,ライフイベント表!H24&lt;=21),支出計画!$D$29,0)))))))+IF(ライフイベント表!I24="",0,IF(AND(ライフイベント表!I24&gt;=0,ライフイベント表!I24&lt;=5),支出計画!$D$24,IF(AND(ライフイベント表!I24&gt;=6,ライフイベント表!I24&lt;=11),支出計画!$D$25,IF(AND(ライフイベント表!I24&gt;=12,ライフイベント表!I24&lt;=14),支出計画!$D$26,IF(AND(ライフイベント表!I24&gt;=15,ライフイベント表!I24&lt;=17),支出計画!$D$27,IF(ライフイベント表!I24=18,支出計画!$D$28,IF(AND(ライフイベント表!I24&gt;=19,ライフイベント表!I24&lt;=21),支出計画!$D$29,0)))))))+IF(ライフイベント表!J24="",0,IF(AND(ライフイベント表!J24&gt;=0,ライフイベント表!J24&lt;=5),支出計画!$D$24,IF(AND(ライフイベント表!J24&gt;=6,ライフイベント表!J24&lt;=11),支出計画!$D$25,IF(AND(ライフイベント表!J24&gt;=12,ライフイベント表!J24&lt;=14),支出計画!$D$26,IF(AND(ライフイベント表!J24&gt;=15,ライフイベント表!J24&lt;=17),支出計画!$D$27,IF(ライフイベント表!J24=18,支出計画!$D$28,IF(AND(ライフイベント表!J24&gt;=19,ライフイベント表!J24&lt;=21),支出計画!$D$29,0))))))))*POWER(1.02,B25-1)</f>
        <v>355.14142763882666</v>
      </c>
      <c r="U25" s="170">
        <f>SUMPRODUCT((保険!$G$5:$G$12&lt;=C25)*(保険!$H$5:$H$12&gt;=C25)*保険!$F$5:$F$12)</f>
        <v>52.120000000000005</v>
      </c>
      <c r="V25" s="170">
        <f>支出計画!$C$9</f>
        <v>36</v>
      </c>
      <c r="W25" s="170">
        <f>IF(AND(C25&gt;=支出計画!$D$35,C25&lt;=支出計画!$F$35,MOD(C25-支出計画!$D$35,支出計画!$E$35)=0),支出計画!$C$35,0)+IF(AND(C25&gt;=支出計画!$D$36,C25&lt;=支出計画!$F$36,MOD(C25-支出計画!$D$36,支出計画!$E$36)=0),支出計画!$C$36,0)+IF(C25=支出計画!$D$37,支出計画!$C$37,0)+IF(C25=支出計画!$D$38,支出計画!$C$38,0)</f>
        <v>0</v>
      </c>
      <c r="X25" s="172">
        <f t="shared" si="2"/>
        <v>955.02363962321681</v>
      </c>
      <c r="Y25" s="172">
        <f t="shared" si="3"/>
        <v>-141.76258417636177</v>
      </c>
      <c r="Z25" s="172">
        <f>Z24*(1+金融資産!$C$15)+Y25</f>
        <v>-1606.139457099951</v>
      </c>
      <c r="AA25" s="1"/>
      <c r="AB25" s="1"/>
    </row>
    <row r="26" spans="1:28" ht="15" customHeight="1">
      <c r="A26" s="1"/>
      <c r="B26" s="167">
        <v>22</v>
      </c>
      <c r="C26" s="168">
        <f>基本情報!$C$3+B26-1</f>
        <v>2043</v>
      </c>
      <c r="D26" s="200">
        <f>IF(基本情報!$D$6="","",C26-YEAR(基本情報!$D$6)-IF(OR(MONTH(基本情報!$D$6)&gt;1,DAY(基本情報!$D$6)&gt;1),1,0))</f>
        <v>56</v>
      </c>
      <c r="E26" s="168">
        <f>IF(基本情報!$D$7="","",C26-YEAR(基本情報!$D$7)-IF(OR(MONTH(基本情報!$D$7)&gt;1,DAY(基本情報!$D$7)&gt;1),1,0))</f>
        <v>55</v>
      </c>
      <c r="F26" s="169">
        <f>IF(OR(基本情報!$D$8="",C26&lt;=YEAR(基本情報!$D$8)),"",MAX(0,C26-YEAR(基本情報!$D$8)-IF(OR(MONTH(基本情報!$D$8)&gt;1,DAY(基本情報!$D$8)&gt;1),1,0)))</f>
        <v>24</v>
      </c>
      <c r="G26" s="169">
        <f>IF(OR(基本情報!$D$9="",C26&lt;=YEAR(基本情報!$D$9)),"",MAX(0,C26-YEAR(基本情報!$D$9)-IF(OR(MONTH(基本情報!$D$9)&gt;1,DAY(基本情報!$D$9)&gt;1),1,0)))</f>
        <v>22</v>
      </c>
      <c r="H26" s="169">
        <f>IF(OR(基本情報!$D$10="",C26&lt;=YEAR(基本情報!$D$10)),"",MAX(0,C26-YEAR(基本情報!$D$10)-IF(OR(MONTH(基本情報!$D$10)&gt;1,DAY(基本情報!$D$10)&gt;1),1,0)))</f>
        <v>15</v>
      </c>
      <c r="I26" s="169">
        <f>IF(OR(基本情報!$D$11="",C26&lt;=YEAR(基本情報!$D$11)),"",MAX(0,C26-YEAR(基本情報!$D$11)-IF(OR(MONTH(基本情報!$D$11)&gt;1,DAY(基本情報!$D$11)&gt;1),1,0)))</f>
        <v>13</v>
      </c>
      <c r="J26" s="169">
        <f>IF(OR(基本情報!$D$12="",C26&lt;=YEAR(基本情報!$D$12)),"",MAX(0,C26-YEAR(基本情報!$D$12)-IF(OR(MONTH(基本情報!$D$12)&gt;1,DAY(基本情報!$D$12)&gt;1),1,0)))</f>
        <v>11</v>
      </c>
      <c r="K26" s="197">
        <f>IF(D26="","",IF(D26&lt;基本情報!$C$15,MAX(0,収入計画!$D$5*(1+収入計画!$E$5)^(B26-1)),IF(AND(D26&gt;=基本情報!$C$15,D26&lt;基本情報!$C$20),MAX(0,基本情報!$C$19*(収入計画!$D$5/収入計画!$C$5)),0)))</f>
        <v>488.02720837758886</v>
      </c>
      <c r="L26" s="170">
        <f>IF(E26="","",IF(E26&lt;基本情報!$D$15,IF(E26&lt;MAX(収入計画!$C$11,収入計画!$C$14,収入計画!$C$17,収入計画!$C$20,収入計画!$C$23),MAX(0,収入計画!$D$6*0.5*(1+収入計画!$E$6)^(B26-1)),MAX(0,収入計画!$D$6*(1+収入計画!$E$6)^(B26-1))),IF(AND(E26&gt;=基本情報!$D$15,E26&lt;基本情報!$D$20),MAX(0,基本情報!$D$19*(収入計画!$D$6/収入計画!$C$6)),0)))</f>
        <v>297.0064576237346</v>
      </c>
      <c r="M26" s="170">
        <f>IF(OR(D26="",E26=""),"",IF(D26=基本情報!$C$15,基本情報!$C$16,0)+IF(E26=基本情報!$D$15,基本情報!$D$16,0))</f>
        <v>0</v>
      </c>
      <c r="N26" s="170" t="str">
        <f>IF(D26="","",IF(OR(D26&gt;=基本情報!$C$17,E26&gt;=基本情報!$D$17),MAX(0,IF(D26&gt;=基本情報!$C$17,基本情報!$C$18*12,0)+IF(AND(E26&lt;&gt;"",E26&gt;=基本情報!$D$17),基本情報!$D$18*12,0)),""))</f>
        <v/>
      </c>
      <c r="O26" s="170">
        <f t="shared" si="0"/>
        <v>36</v>
      </c>
      <c r="P26" s="205">
        <f t="shared" si="1"/>
        <v>821.03366600132347</v>
      </c>
      <c r="Q26" s="170">
        <f>IF(D26&lt;基本情報!$C$17,支出計画!$C$5*(1+支出計画!$D$5)^(B26-1),支出計画!$C$6*(1+支出計画!$D$6)^(D26-基本情報!$C$17))-IF(AND(F26&gt;=22,F26&lt;&gt;""),支出計画!$C$45,0)</f>
        <v>333.717582104234</v>
      </c>
      <c r="R26" s="170">
        <f>IF(C26&lt;住宅ローン償還表!$C$9,支出計画!$C$7,0)</f>
        <v>0</v>
      </c>
      <c r="S26" s="170">
        <f>IFERROR(VLOOKUP(C26,住宅ローン償還表!$C$17:$H$46,6,FALSE()),0)</f>
        <v>181.70519999999999</v>
      </c>
      <c r="T26" s="194">
        <f>(IF(ライフイベント表!F25="",0,IF(AND(ライフイベント表!F25&gt;=0,ライフイベント表!F25&lt;=5),支出計画!$D$24,IF(AND(ライフイベント表!F25&gt;=6,ライフイベント表!F25&lt;=11),支出計画!$D$25,IF(AND(ライフイベント表!F25&gt;=12,ライフイベント表!F25&lt;=14),支出計画!$D$26,IF(AND(ライフイベント表!F25&gt;=15,ライフイベント表!F25&lt;=17),支出計画!$D$27,IF(ライフイベント表!F25=18,支出計画!$D$28,IF(AND(ライフイベント表!F25&gt;=19,ライフイベント表!F25&lt;=21),支出計画!$D$29,0)))))))+IF(ライフイベント表!G25="",0,IF(AND(ライフイベント表!G25&gt;=0,ライフイベント表!G25&lt;=5),支出計画!$D$24,IF(AND(ライフイベント表!G25&gt;=6,ライフイベント表!G25&lt;=11),支出計画!$D$25,IF(AND(ライフイベント表!G25&gt;=12,ライフイベント表!G25&lt;=14),支出計画!$D$26,IF(AND(ライフイベント表!G25&gt;=15,ライフイベント表!G25&lt;=17),支出計画!$D$27,IF(ライフイベント表!G25=18,支出計画!$D$28,IF(AND(ライフイベント表!G25&gt;=19,ライフイベント表!G25&lt;=21),支出計画!$D$29,0)))))))+IF(ライフイベント表!H25="",0,IF(AND(ライフイベント表!H25&gt;=0,ライフイベント表!H25&lt;=5),支出計画!$D$24,IF(AND(ライフイベント表!H25&gt;=6,ライフイベント表!H25&lt;=11),支出計画!$D$25,IF(AND(ライフイベント表!H25&gt;=12,ライフイベント表!H25&lt;=14),支出計画!$D$26,IF(AND(ライフイベント表!H25&gt;=15,ライフイベント表!H25&lt;=17),支出計画!$D$27,IF(ライフイベント表!H25=18,支出計画!$D$28,IF(AND(ライフイベント表!H25&gt;=19,ライフイベント表!H25&lt;=21),支出計画!$D$29,0)))))))+IF(ライフイベント表!I25="",0,IF(AND(ライフイベント表!I25&gt;=0,ライフイベント表!I25&lt;=5),支出計画!$D$24,IF(AND(ライフイベント表!I25&gt;=6,ライフイベント表!I25&lt;=11),支出計画!$D$25,IF(AND(ライフイベント表!I25&gt;=12,ライフイベント表!I25&lt;=14),支出計画!$D$26,IF(AND(ライフイベント表!I25&gt;=15,ライフイベント表!I25&lt;=17),支出計画!$D$27,IF(ライフイベント表!I25=18,支出計画!$D$28,IF(AND(ライフイベント表!I25&gt;=19,ライフイベント表!I25&lt;=21),支出計画!$D$29,0)))))))+IF(ライフイベント表!J25="",0,IF(AND(ライフイベント表!J25&gt;=0,ライフイベント表!J25&lt;=5),支出計画!$D$24,IF(AND(ライフイベント表!J25&gt;=6,ライフイベント表!J25&lt;=11),支出計画!$D$25,IF(AND(ライフイベント表!J25&gt;=12,ライフイベント表!J25&lt;=14),支出計画!$D$26,IF(AND(ライフイベント表!J25&gt;=15,ライフイベント表!J25&lt;=17),支出計画!$D$27,IF(ライフイベント表!J25=18,支出計画!$D$28,IF(AND(ライフイベント表!J25&gt;=19,ライフイベント表!J25&lt;=21),支出計画!$D$29,0))))))))*POWER(1.02,B26-1)</f>
        <v>269.78860921383</v>
      </c>
      <c r="U26" s="170">
        <f>SUMPRODUCT((保険!$G$5:$G$12&lt;=C26)*(保険!$H$5:$H$12&gt;=C26)*保険!$F$5:$F$12)</f>
        <v>52.120000000000005</v>
      </c>
      <c r="V26" s="170">
        <f>支出計画!$C$9</f>
        <v>36</v>
      </c>
      <c r="W26" s="170">
        <f>IF(AND(C26&gt;=支出計画!$D$35,C26&lt;=支出計画!$F$35,MOD(C26-支出計画!$D$35,支出計画!$E$35)=0),支出計画!$C$35,0)+IF(AND(C26&gt;=支出計画!$D$36,C26&lt;=支出計画!$F$36,MOD(C26-支出計画!$D$36,支出計画!$E$36)=0),支出計画!$C$36,0)+IF(C26=支出計画!$D$37,支出計画!$C$37,0)+IF(C26=支出計画!$D$38,支出計画!$C$38,0)</f>
        <v>0</v>
      </c>
      <c r="X26" s="172">
        <f t="shared" si="2"/>
        <v>873.33139131806399</v>
      </c>
      <c r="Y26" s="172">
        <f t="shared" si="3"/>
        <v>-52.297725316740525</v>
      </c>
      <c r="Z26" s="172">
        <f>Z25*(1+金融資産!$C$15)+Y26</f>
        <v>-1666.4678797021911</v>
      </c>
      <c r="AA26" s="1"/>
      <c r="AB26" s="1"/>
    </row>
    <row r="27" spans="1:28" ht="15" customHeight="1">
      <c r="A27" s="1"/>
      <c r="B27" s="167">
        <v>23</v>
      </c>
      <c r="C27" s="168">
        <f>基本情報!$C$3+B27-1</f>
        <v>2044</v>
      </c>
      <c r="D27" s="200">
        <f>IF(基本情報!$D$6="","",C27-YEAR(基本情報!$D$6)-IF(OR(MONTH(基本情報!$D$6)&gt;1,DAY(基本情報!$D$6)&gt;1),1,0))</f>
        <v>57</v>
      </c>
      <c r="E27" s="168">
        <f>IF(基本情報!$D$7="","",C27-YEAR(基本情報!$D$7)-IF(OR(MONTH(基本情報!$D$7)&gt;1,DAY(基本情報!$D$7)&gt;1),1,0))</f>
        <v>56</v>
      </c>
      <c r="F27" s="169">
        <f>IF(OR(基本情報!$D$8="",C27&lt;=YEAR(基本情報!$D$8)),"",MAX(0,C27-YEAR(基本情報!$D$8)-IF(OR(MONTH(基本情報!$D$8)&gt;1,DAY(基本情報!$D$8)&gt;1),1,0)))</f>
        <v>25</v>
      </c>
      <c r="G27" s="169">
        <f>IF(OR(基本情報!$D$9="",C27&lt;=YEAR(基本情報!$D$9)),"",MAX(0,C27-YEAR(基本情報!$D$9)-IF(OR(MONTH(基本情報!$D$9)&gt;1,DAY(基本情報!$D$9)&gt;1),1,0)))</f>
        <v>23</v>
      </c>
      <c r="H27" s="169">
        <f>IF(OR(基本情報!$D$10="",C27&lt;=YEAR(基本情報!$D$10)),"",MAX(0,C27-YEAR(基本情報!$D$10)-IF(OR(MONTH(基本情報!$D$10)&gt;1,DAY(基本情報!$D$10)&gt;1),1,0)))</f>
        <v>16</v>
      </c>
      <c r="I27" s="169">
        <f>IF(OR(基本情報!$D$11="",C27&lt;=YEAR(基本情報!$D$11)),"",MAX(0,C27-YEAR(基本情報!$D$11)-IF(OR(MONTH(基本情報!$D$11)&gt;1,DAY(基本情報!$D$11)&gt;1),1,0)))</f>
        <v>14</v>
      </c>
      <c r="J27" s="169">
        <f>IF(OR(基本情報!$D$12="",C27&lt;=YEAR(基本情報!$D$12)),"",MAX(0,C27-YEAR(基本情報!$D$12)-IF(OR(MONTH(基本情報!$D$12)&gt;1,DAY(基本情報!$D$12)&gt;1),1,0)))</f>
        <v>12</v>
      </c>
      <c r="K27" s="197">
        <f>IF(D27="","",IF(D27&lt;基本情報!$C$15,MAX(0,収入計画!$D$5*(1+収入計画!$E$5)^(B27-1)),IF(AND(D27&gt;=基本情報!$C$15,D27&lt;基本情報!$C$20),MAX(0,基本情報!$C$19*(収入計画!$D$5/収入計画!$C$5)),0)))</f>
        <v>492.90748046136486</v>
      </c>
      <c r="L27" s="170">
        <f>IF(E27="","",IF(E27&lt;基本情報!$D$15,IF(E27&lt;MAX(収入計画!$C$11,収入計画!$C$14,収入計画!$C$17,収入計画!$C$20,収入計画!$C$23),MAX(0,収入計画!$D$6*0.5*(1+収入計画!$E$6)^(B27-1)),MAX(0,収入計画!$D$6*(1+収入計画!$E$6)^(B27-1))),IF(AND(E27&gt;=基本情報!$D$15,E27&lt;基本情報!$D$20),MAX(0,基本情報!$D$19*(収入計画!$D$6/収入計画!$C$6)),0)))</f>
        <v>299.97652219997207</v>
      </c>
      <c r="M27" s="170">
        <f>IF(OR(D27="",E27=""),"",IF(D27=基本情報!$C$15,基本情報!$C$16,0)+IF(E27=基本情報!$D$15,基本情報!$D$16,0))</f>
        <v>0</v>
      </c>
      <c r="N27" s="170" t="str">
        <f>IF(D27="","",IF(OR(D27&gt;=基本情報!$C$17,E27&gt;=基本情報!$D$17),MAX(0,IF(D27&gt;=基本情報!$C$17,基本情報!$C$18*12,0)+IF(AND(E27&lt;&gt;"",E27&gt;=基本情報!$D$17),基本情報!$D$18*12,0)),""))</f>
        <v/>
      </c>
      <c r="O27" s="170">
        <f t="shared" si="0"/>
        <v>24</v>
      </c>
      <c r="P27" s="205">
        <f t="shared" si="1"/>
        <v>816.88400266133692</v>
      </c>
      <c r="Q27" s="170">
        <f>IF(D27&lt;基本情報!$C$17,支出計画!$C$5*(1+支出計画!$D$5)^(B27-1),支出計画!$C$6*(1+支出計画!$D$6)^(D27-基本情報!$C$17))-IF(AND(F27&gt;=22,F27&lt;&gt;""),支出計画!$C$45,0)</f>
        <v>337.41475792527643</v>
      </c>
      <c r="R27" s="170">
        <f>IF(C27&lt;住宅ローン償還表!$C$9,支出計画!$C$7,0)</f>
        <v>0</v>
      </c>
      <c r="S27" s="170">
        <f>IFERROR(VLOOKUP(C27,住宅ローン償還表!$C$17:$H$46,6,FALSE()),0)</f>
        <v>181.70519999999999</v>
      </c>
      <c r="T27" s="194">
        <f>(IF(ライフイベント表!F26="",0,IF(AND(ライフイベント表!F26&gt;=0,ライフイベント表!F26&lt;=5),支出計画!$D$24,IF(AND(ライフイベント表!F26&gt;=6,ライフイベント表!F26&lt;=11),支出計画!$D$25,IF(AND(ライフイベント表!F26&gt;=12,ライフイベント表!F26&lt;=14),支出計画!$D$26,IF(AND(ライフイベント表!F26&gt;=15,ライフイベント表!F26&lt;=17),支出計画!$D$27,IF(ライフイベント表!F26=18,支出計画!$D$28,IF(AND(ライフイベント表!F26&gt;=19,ライフイベント表!F26&lt;=21),支出計画!$D$29,0)))))))+IF(ライフイベント表!G26="",0,IF(AND(ライフイベント表!G26&gt;=0,ライフイベント表!G26&lt;=5),支出計画!$D$24,IF(AND(ライフイベント表!G26&gt;=6,ライフイベント表!G26&lt;=11),支出計画!$D$25,IF(AND(ライフイベント表!G26&gt;=12,ライフイベント表!G26&lt;=14),支出計画!$D$26,IF(AND(ライフイベント表!G26&gt;=15,ライフイベント表!G26&lt;=17),支出計画!$D$27,IF(ライフイベント表!G26=18,支出計画!$D$28,IF(AND(ライフイベント表!G26&gt;=19,ライフイベント表!G26&lt;=21),支出計画!$D$29,0)))))))+IF(ライフイベント表!H26="",0,IF(AND(ライフイベント表!H26&gt;=0,ライフイベント表!H26&lt;=5),支出計画!$D$24,IF(AND(ライフイベント表!H26&gt;=6,ライフイベント表!H26&lt;=11),支出計画!$D$25,IF(AND(ライフイベント表!H26&gt;=12,ライフイベント表!H26&lt;=14),支出計画!$D$26,IF(AND(ライフイベント表!H26&gt;=15,ライフイベント表!H26&lt;=17),支出計画!$D$27,IF(ライフイベント表!H26=18,支出計画!$D$28,IF(AND(ライフイベント表!H26&gt;=19,ライフイベント表!H26&lt;=21),支出計画!$D$29,0)))))))+IF(ライフイベント表!I26="",0,IF(AND(ライフイベント表!I26&gt;=0,ライフイベント表!I26&lt;=5),支出計画!$D$24,IF(AND(ライフイベント表!I26&gt;=6,ライフイベント表!I26&lt;=11),支出計画!$D$25,IF(AND(ライフイベント表!I26&gt;=12,ライフイベント表!I26&lt;=14),支出計画!$D$26,IF(AND(ライフイベント表!I26&gt;=15,ライフイベント表!I26&lt;=17),支出計画!$D$27,IF(ライフイベント表!I26=18,支出計画!$D$28,IF(AND(ライフイベント表!I26&gt;=19,ライフイベント表!I26&lt;=21),支出計画!$D$29,0)))))))+IF(ライフイベント表!J26="",0,IF(AND(ライフイベント表!J26&gt;=0,ライフイベント表!J26&lt;=5),支出計画!$D$24,IF(AND(ライフイベント表!J26&gt;=6,ライフイベント表!J26&lt;=11),支出計画!$D$25,IF(AND(ライフイベント表!J26&gt;=12,ライフイベント表!J26&lt;=14),支出計画!$D$26,IF(AND(ライフイベント表!J26&gt;=15,ライフイベント表!J26&lt;=17),支出計画!$D$27,IF(ライフイベント表!J26=18,支出計画!$D$28,IF(AND(ライフイベント表!J26&gt;=19,ライフイベント表!J26&lt;=21),支出計画!$D$29,0))))))))*POWER(1.02,B27-1)</f>
        <v>301.46603580129653</v>
      </c>
      <c r="U27" s="170">
        <f>SUMPRODUCT((保険!$G$5:$G$12&lt;=C27)*(保険!$H$5:$H$12&gt;=C27)*保険!$F$5:$F$12)</f>
        <v>28.12</v>
      </c>
      <c r="V27" s="170">
        <f>支出計画!$C$9</f>
        <v>36</v>
      </c>
      <c r="W27" s="170">
        <f>IF(AND(C27&gt;=支出計画!$D$35,C27&lt;=支出計画!$F$35,MOD(C27-支出計画!$D$35,支出計画!$E$35)=0),支出計画!$C$35,0)+IF(AND(C27&gt;=支出計画!$D$36,C27&lt;=支出計画!$F$36,MOD(C27-支出計画!$D$36,支出計画!$E$36)=0),支出計画!$C$36,0)+IF(C27=支出計画!$D$37,支出計画!$C$37,0)+IF(C27=支出計画!$D$38,支出計画!$C$38,0)</f>
        <v>0</v>
      </c>
      <c r="X27" s="172">
        <f t="shared" si="2"/>
        <v>884.70599372657296</v>
      </c>
      <c r="Y27" s="172">
        <f t="shared" si="3"/>
        <v>-67.821991065236034</v>
      </c>
      <c r="Z27" s="172">
        <f>Z26*(1+金融資産!$C$15)+Y27</f>
        <v>-1742.622210165938</v>
      </c>
      <c r="AA27" s="1"/>
      <c r="AB27" s="1"/>
    </row>
    <row r="28" spans="1:28" ht="15" customHeight="1">
      <c r="A28" s="1"/>
      <c r="B28" s="167">
        <v>24</v>
      </c>
      <c r="C28" s="168">
        <f>基本情報!$C$3+B28-1</f>
        <v>2045</v>
      </c>
      <c r="D28" s="200">
        <f>IF(基本情報!$D$6="","",C28-YEAR(基本情報!$D$6)-IF(OR(MONTH(基本情報!$D$6)&gt;1,DAY(基本情報!$D$6)&gt;1),1,0))</f>
        <v>58</v>
      </c>
      <c r="E28" s="168">
        <f>IF(基本情報!$D$7="","",C28-YEAR(基本情報!$D$7)-IF(OR(MONTH(基本情報!$D$7)&gt;1,DAY(基本情報!$D$7)&gt;1),1,0))</f>
        <v>57</v>
      </c>
      <c r="F28" s="169">
        <f>IF(OR(基本情報!$D$8="",C28&lt;=YEAR(基本情報!$D$8)),"",MAX(0,C28-YEAR(基本情報!$D$8)-IF(OR(MONTH(基本情報!$D$8)&gt;1,DAY(基本情報!$D$8)&gt;1),1,0)))</f>
        <v>26</v>
      </c>
      <c r="G28" s="169">
        <f>IF(OR(基本情報!$D$9="",C28&lt;=YEAR(基本情報!$D$9)),"",MAX(0,C28-YEAR(基本情報!$D$9)-IF(OR(MONTH(基本情報!$D$9)&gt;1,DAY(基本情報!$D$9)&gt;1),1,0)))</f>
        <v>24</v>
      </c>
      <c r="H28" s="169">
        <f>IF(OR(基本情報!$D$10="",C28&lt;=YEAR(基本情報!$D$10)),"",MAX(0,C28-YEAR(基本情報!$D$10)-IF(OR(MONTH(基本情報!$D$10)&gt;1,DAY(基本情報!$D$10)&gt;1),1,0)))</f>
        <v>17</v>
      </c>
      <c r="I28" s="169">
        <f>IF(OR(基本情報!$D$11="",C28&lt;=YEAR(基本情報!$D$11)),"",MAX(0,C28-YEAR(基本情報!$D$11)-IF(OR(MONTH(基本情報!$D$11)&gt;1,DAY(基本情報!$D$11)&gt;1),1,0)))</f>
        <v>15</v>
      </c>
      <c r="J28" s="169">
        <f>IF(OR(基本情報!$D$12="",C28&lt;=YEAR(基本情報!$D$12)),"",MAX(0,C28-YEAR(基本情報!$D$12)-IF(OR(MONTH(基本情報!$D$12)&gt;1,DAY(基本情報!$D$12)&gt;1),1,0)))</f>
        <v>13</v>
      </c>
      <c r="K28" s="197">
        <f>IF(D28="","",IF(D28&lt;基本情報!$C$15,MAX(0,収入計画!$D$5*(1+収入計画!$E$5)^(B28-1)),IF(AND(D28&gt;=基本情報!$C$15,D28&lt;基本情報!$C$20),MAX(0,基本情報!$C$19*(収入計画!$D$5/収入計画!$C$5)),0)))</f>
        <v>497.8365552659784</v>
      </c>
      <c r="L28" s="170">
        <f>IF(E28="","",IF(E28&lt;基本情報!$D$15,IF(E28&lt;MAX(収入計画!$C$11,収入計画!$C$14,収入計画!$C$17,収入計画!$C$20,収入計画!$C$23),MAX(0,収入計画!$D$6*0.5*(1+収入計画!$E$6)^(B28-1)),MAX(0,収入計画!$D$6*(1+収入計画!$E$6)^(B28-1))),IF(AND(E28&gt;=基本情報!$D$15,E28&lt;基本情報!$D$20),MAX(0,基本情報!$D$19*(収入計画!$D$6/収入計画!$C$6)),0)))</f>
        <v>302.97628742197173</v>
      </c>
      <c r="M28" s="170">
        <f>IF(OR(D28="",E28=""),"",IF(D28=基本情報!$C$15,基本情報!$C$16,0)+IF(E28=基本情報!$D$15,基本情報!$D$16,0))</f>
        <v>0</v>
      </c>
      <c r="N28" s="170" t="str">
        <f>IF(D28="","",IF(OR(D28&gt;=基本情報!$C$17,E28&gt;=基本情報!$D$17),MAX(0,IF(D28&gt;=基本情報!$C$17,基本情報!$C$18*12,0)+IF(AND(E28&lt;&gt;"",E28&gt;=基本情報!$D$17),基本情報!$D$18*12,0)),""))</f>
        <v/>
      </c>
      <c r="O28" s="170">
        <f t="shared" si="0"/>
        <v>124</v>
      </c>
      <c r="P28" s="205">
        <f t="shared" si="1"/>
        <v>924.81284268795014</v>
      </c>
      <c r="Q28" s="170">
        <f>IF(D28&lt;基本情報!$C$17,支出計画!$C$5*(1+支出計画!$D$5)^(B28-1),支出計画!$C$6*(1+支出計画!$D$6)^(D28-基本情報!$C$17))-IF(AND(F28&gt;=22,F28&lt;&gt;""),支出計画!$C$45,0)</f>
        <v>341.14890550452913</v>
      </c>
      <c r="R28" s="170">
        <f>IF(C28&lt;住宅ローン償還表!$C$9,支出計画!$C$7,0)</f>
        <v>0</v>
      </c>
      <c r="S28" s="170">
        <f>IFERROR(VLOOKUP(C28,住宅ローン償還表!$C$17:$H$46,6,FALSE()),0)</f>
        <v>181.70519999999999</v>
      </c>
      <c r="T28" s="194">
        <f>(IF(ライフイベント表!F27="",0,IF(AND(ライフイベント表!F27&gt;=0,ライフイベント表!F27&lt;=5),支出計画!$D$24,IF(AND(ライフイベント表!F27&gt;=6,ライフイベント表!F27&lt;=11),支出計画!$D$25,IF(AND(ライフイベント表!F27&gt;=12,ライフイベント表!F27&lt;=14),支出計画!$D$26,IF(AND(ライフイベント表!F27&gt;=15,ライフイベント表!F27&lt;=17),支出計画!$D$27,IF(ライフイベント表!F27=18,支出計画!$D$28,IF(AND(ライフイベント表!F27&gt;=19,ライフイベント表!F27&lt;=21),支出計画!$D$29,0)))))))+IF(ライフイベント表!G27="",0,IF(AND(ライフイベント表!G27&gt;=0,ライフイベント表!G27&lt;=5),支出計画!$D$24,IF(AND(ライフイベント表!G27&gt;=6,ライフイベント表!G27&lt;=11),支出計画!$D$25,IF(AND(ライフイベント表!G27&gt;=12,ライフイベント表!G27&lt;=14),支出計画!$D$26,IF(AND(ライフイベント表!G27&gt;=15,ライフイベント表!G27&lt;=17),支出計画!$D$27,IF(ライフイベント表!G27=18,支出計画!$D$28,IF(AND(ライフイベント表!G27&gt;=19,ライフイベント表!G27&lt;=21),支出計画!$D$29,0)))))))+IF(ライフイベント表!H27="",0,IF(AND(ライフイベント表!H27&gt;=0,ライフイベント表!H27&lt;=5),支出計画!$D$24,IF(AND(ライフイベント表!H27&gt;=6,ライフイベント表!H27&lt;=11),支出計画!$D$25,IF(AND(ライフイベント表!H27&gt;=12,ライフイベント表!H27&lt;=14),支出計画!$D$26,IF(AND(ライフイベント表!H27&gt;=15,ライフイベント表!H27&lt;=17),支出計画!$D$27,IF(ライフイベント表!H27=18,支出計画!$D$28,IF(AND(ライフイベント表!H27&gt;=19,ライフイベント表!H27&lt;=21),支出計画!$D$29,0)))))))+IF(ライフイベント表!I27="",0,IF(AND(ライフイベント表!I27&gt;=0,ライフイベント表!I27&lt;=5),支出計画!$D$24,IF(AND(ライフイベント表!I27&gt;=6,ライフイベント表!I27&lt;=11),支出計画!$D$25,IF(AND(ライフイベント表!I27&gt;=12,ライフイベント表!I27&lt;=14),支出計画!$D$26,IF(AND(ライフイベント表!I27&gt;=15,ライフイベント表!I27&lt;=17),支出計画!$D$27,IF(ライフイベント表!I27=18,支出計画!$D$28,IF(AND(ライフイベント表!I27&gt;=19,ライフイベント表!I27&lt;=21),支出計画!$D$29,0)))))))+IF(ライフイベント表!J27="",0,IF(AND(ライフイベント表!J27&gt;=0,ライフイベント表!J27&lt;=5),支出計画!$D$24,IF(AND(ライフイベント表!J27&gt;=6,ライフイベント表!J27&lt;=11),支出計画!$D$25,IF(AND(ライフイベント表!J27&gt;=12,ライフイベント表!J27&lt;=14),支出計画!$D$26,IF(AND(ライフイベント表!J27&gt;=15,ライフイベント表!J27&lt;=17),支出計画!$D$27,IF(ライフイベント表!J27=18,支出計画!$D$28,IF(AND(ライフイベント表!J27&gt;=19,ライフイベント表!J27&lt;=21),支出計画!$D$29,0))))))))*POWER(1.02,B28-1)</f>
        <v>383.18652119850947</v>
      </c>
      <c r="U28" s="170">
        <f>SUMPRODUCT((保険!$G$5:$G$12&lt;=C28)*(保険!$H$5:$H$12&gt;=C28)*保険!$F$5:$F$12)</f>
        <v>21.880000000000003</v>
      </c>
      <c r="V28" s="170">
        <f>支出計画!$C$9</f>
        <v>36</v>
      </c>
      <c r="W28" s="170">
        <f>IF(AND(C28&gt;=支出計画!$D$35,C28&lt;=支出計画!$F$35,MOD(C28-支出計画!$D$35,支出計画!$E$35)=0),支出計画!$C$35,0)+IF(AND(C28&gt;=支出計画!$D$36,C28&lt;=支出計画!$F$36,MOD(C28-支出計画!$D$36,支出計画!$E$36)=0),支出計画!$C$36,0)+IF(C28=支出計画!$D$37,支出計画!$C$37,0)+IF(C28=支出計画!$D$38,支出計画!$C$38,0)</f>
        <v>200</v>
      </c>
      <c r="X28" s="172">
        <f t="shared" si="2"/>
        <v>1163.9206267030386</v>
      </c>
      <c r="Y28" s="172">
        <f t="shared" si="3"/>
        <v>-239.10778401508844</v>
      </c>
      <c r="Z28" s="172">
        <f>Z27*(1+金融資産!$C$15)+Y28</f>
        <v>-1990.443105231856</v>
      </c>
      <c r="AA28" s="1"/>
      <c r="AB28" s="1"/>
    </row>
    <row r="29" spans="1:28" ht="15" customHeight="1">
      <c r="A29" s="1"/>
      <c r="B29" s="173">
        <v>25</v>
      </c>
      <c r="C29" s="174">
        <f>基本情報!$C$3+B29-1</f>
        <v>2046</v>
      </c>
      <c r="D29" s="201">
        <f>IF(基本情報!$D$6="","",C29-YEAR(基本情報!$D$6)-IF(OR(MONTH(基本情報!$D$6)&gt;1,DAY(基本情報!$D$6)&gt;1),1,0))</f>
        <v>59</v>
      </c>
      <c r="E29" s="174">
        <f>IF(基本情報!$D$7="","",C29-YEAR(基本情報!$D$7)-IF(OR(MONTH(基本情報!$D$7)&gt;1,DAY(基本情報!$D$7)&gt;1),1,0))</f>
        <v>58</v>
      </c>
      <c r="F29" s="175">
        <f>IF(OR(基本情報!$D$8="",C29&lt;=YEAR(基本情報!$D$8)),"",MAX(0,C29-YEAR(基本情報!$D$8)-IF(OR(MONTH(基本情報!$D$8)&gt;1,DAY(基本情報!$D$8)&gt;1),1,0)))</f>
        <v>27</v>
      </c>
      <c r="G29" s="175">
        <f>IF(OR(基本情報!$D$9="",C29&lt;=YEAR(基本情報!$D$9)),"",MAX(0,C29-YEAR(基本情報!$D$9)-IF(OR(MONTH(基本情報!$D$9)&gt;1,DAY(基本情報!$D$9)&gt;1),1,0)))</f>
        <v>25</v>
      </c>
      <c r="H29" s="175">
        <f>IF(OR(基本情報!$D$10="",C29&lt;=YEAR(基本情報!$D$10)),"",MAX(0,C29-YEAR(基本情報!$D$10)-IF(OR(MONTH(基本情報!$D$10)&gt;1,DAY(基本情報!$D$10)&gt;1),1,0)))</f>
        <v>18</v>
      </c>
      <c r="I29" s="175">
        <f>IF(OR(基本情報!$D$11="",C29&lt;=YEAR(基本情報!$D$11)),"",MAX(0,C29-YEAR(基本情報!$D$11)-IF(OR(MONTH(基本情報!$D$11)&gt;1,DAY(基本情報!$D$11)&gt;1),1,0)))</f>
        <v>16</v>
      </c>
      <c r="J29" s="175">
        <f>IF(OR(基本情報!$D$12="",C29&lt;=YEAR(基本情報!$D$12)),"",MAX(0,C29-YEAR(基本情報!$D$12)-IF(OR(MONTH(基本情報!$D$12)&gt;1,DAY(基本情報!$D$12)&gt;1),1,0)))</f>
        <v>14</v>
      </c>
      <c r="K29" s="204">
        <f>IF(D29="","",IF(D29&lt;基本情報!$C$15,MAX(0,収入計画!$D$5*(1+収入計画!$E$5)^(B29-1)),IF(AND(D29&gt;=基本情報!$C$15,D29&lt;基本情報!$C$20),MAX(0,基本情報!$C$19*(収入計画!$D$5/収入計画!$C$5)),0)))</f>
        <v>502.81492081863831</v>
      </c>
      <c r="L29" s="176">
        <f>IF(E29="","",IF(E29&lt;基本情報!$D$15,IF(E29&lt;MAX(収入計画!$C$11,収入計画!$C$14,収入計画!$C$17,収入計画!$C$20,収入計画!$C$23),MAX(0,収入計画!$D$6*0.5*(1+収入計画!$E$6)^(B29-1)),MAX(0,収入計画!$D$6*(1+収入計画!$E$6)^(B29-1))),IF(AND(E29&gt;=基本情報!$D$15,E29&lt;基本情報!$D$20),MAX(0,基本情報!$D$19*(収入計画!$D$6/収入計画!$C$6)),0)))</f>
        <v>306.00605029619152</v>
      </c>
      <c r="M29" s="176">
        <f>IF(OR(D29="",E29=""),"",IF(D29=基本情報!$C$15,基本情報!$C$16,0)+IF(E29=基本情報!$D$15,基本情報!$D$16,0))</f>
        <v>0</v>
      </c>
      <c r="N29" s="176" t="str">
        <f>IF(D29="","",IF(OR(D29&gt;=基本情報!$C$17,E29&gt;=基本情報!$D$17),MAX(0,IF(D29&gt;=基本情報!$C$17,基本情報!$C$18*12,0)+IF(AND(E29&lt;&gt;"",E29&gt;=基本情報!$D$17),基本情報!$D$18*12,0)),""))</f>
        <v/>
      </c>
      <c r="O29" s="176">
        <f t="shared" si="0"/>
        <v>12</v>
      </c>
      <c r="P29" s="206">
        <f t="shared" si="1"/>
        <v>820.82097111482983</v>
      </c>
      <c r="Q29" s="176">
        <f>IF(D29&lt;基本情報!$C$17,支出計画!$C$5*(1+支出計画!$D$5)^(B29-1),支出計画!$C$6*(1+支出計画!$D$6)^(D29-基本情報!$C$17))-IF(AND(F29&gt;=22,F29&lt;&gt;""),支出計画!$C$45,0)</f>
        <v>344.9203945595745</v>
      </c>
      <c r="R29" s="176">
        <f>IF(C29&lt;住宅ローン償還表!$C$9,支出計画!$C$7,0)</f>
        <v>0</v>
      </c>
      <c r="S29" s="176">
        <f>IFERROR(VLOOKUP(C29,住宅ローン償還表!$C$17:$H$46,6,FALSE()),0)</f>
        <v>181.70519999999999</v>
      </c>
      <c r="T29" s="195">
        <f>(IF(ライフイベント表!F28="",0,IF(AND(ライフイベント表!F28&gt;=0,ライフイベント表!F28&lt;=5),支出計画!$D$24,IF(AND(ライフイベント表!F28&gt;=6,ライフイベント表!F28&lt;=11),支出計画!$D$25,IF(AND(ライフイベント表!F28&gt;=12,ライフイベント表!F28&lt;=14),支出計画!$D$26,IF(AND(ライフイベント表!F28&gt;=15,ライフイベント表!F28&lt;=17),支出計画!$D$27,IF(ライフイベント表!F28=18,支出計画!$D$28,IF(AND(ライフイベント表!F28&gt;=19,ライフイベント表!F28&lt;=21),支出計画!$D$29,0)))))))+IF(ライフイベント表!G28="",0,IF(AND(ライフイベント表!G28&gt;=0,ライフイベント表!G28&lt;=5),支出計画!$D$24,IF(AND(ライフイベント表!G28&gt;=6,ライフイベント表!G28&lt;=11),支出計画!$D$25,IF(AND(ライフイベント表!G28&gt;=12,ライフイベント表!G28&lt;=14),支出計画!$D$26,IF(AND(ライフイベント表!G28&gt;=15,ライフイベント表!G28&lt;=17),支出計画!$D$27,IF(ライフイベント表!G28=18,支出計画!$D$28,IF(AND(ライフイベント表!G28&gt;=19,ライフイベント表!G28&lt;=21),支出計画!$D$29,0)))))))+IF(ライフイベント表!H28="",0,IF(AND(ライフイベント表!H28&gt;=0,ライフイベント表!H28&lt;=5),支出計画!$D$24,IF(AND(ライフイベント表!H28&gt;=6,ライフイベント表!H28&lt;=11),支出計画!$D$25,IF(AND(ライフイベント表!H28&gt;=12,ライフイベント表!H28&lt;=14),支出計画!$D$26,IF(AND(ライフイベント表!H28&gt;=15,ライフイベント表!H28&lt;=17),支出計画!$D$27,IF(ライフイベント表!H28=18,支出計画!$D$28,IF(AND(ライフイベント表!H28&gt;=19,ライフイベント表!H28&lt;=21),支出計画!$D$29,0)))))))+IF(ライフイベント表!I28="",0,IF(AND(ライフイベント表!I28&gt;=0,ライフイベント表!I28&lt;=5),支出計画!$D$24,IF(AND(ライフイベント表!I28&gt;=6,ライフイベント表!I28&lt;=11),支出計画!$D$25,IF(AND(ライフイベント表!I28&gt;=12,ライフイベント表!I28&lt;=14),支出計画!$D$26,IF(AND(ライフイベント表!I28&gt;=15,ライフイベント表!I28&lt;=17),支出計画!$D$27,IF(ライフイベント表!I28=18,支出計画!$D$28,IF(AND(ライフイベント表!I28&gt;=19,ライフイベント表!I28&lt;=21),支出計画!$D$29,0)))))))+IF(ライフイベント表!J28="",0,IF(AND(ライフイベント表!J28&gt;=0,ライフイベント表!J28&lt;=5),支出計画!$D$24,IF(AND(ライフイベント表!J28&gt;=6,ライフイベント表!J28&lt;=11),支出計画!$D$25,IF(AND(ライフイベント表!J28&gt;=12,ライフイベント表!J28&lt;=14),支出計画!$D$26,IF(AND(ライフイベント表!J28&gt;=15,ライフイベント表!J28&lt;=17),支出計画!$D$27,IF(ライフイベント表!J28=18,支出計画!$D$28,IF(AND(ライフイベント表!J28&gt;=19,ライフイベント表!J28&lt;=21),支出計画!$D$29,0))))))))*POWER(1.02,B29-1)</f>
        <v>450.36242985306302</v>
      </c>
      <c r="U29" s="176">
        <f>SUMPRODUCT((保険!$G$5:$G$12&lt;=C29)*(保険!$H$5:$H$12&gt;=C29)*保険!$F$5:$F$12)</f>
        <v>21.880000000000003</v>
      </c>
      <c r="V29" s="176">
        <f>支出計画!$C$9</f>
        <v>36</v>
      </c>
      <c r="W29" s="176">
        <f>IF(AND(C29&gt;=支出計画!$D$35,C29&lt;=支出計画!$F$35,MOD(C29-支出計画!$D$35,支出計画!$E$35)=0),支出計画!$C$35,0)+IF(AND(C29&gt;=支出計画!$D$36,C29&lt;=支出計画!$F$36,MOD(C29-支出計画!$D$36,支出計画!$E$36)=0),支出計画!$C$36,0)+IF(C29=支出計画!$D$37,支出計画!$C$37,0)+IF(C29=支出計画!$D$38,支出計画!$C$38,0)</f>
        <v>70</v>
      </c>
      <c r="X29" s="177">
        <f t="shared" si="2"/>
        <v>1104.8680244126376</v>
      </c>
      <c r="Y29" s="177">
        <f t="shared" si="3"/>
        <v>-284.04705329780779</v>
      </c>
      <c r="Z29" s="177">
        <f>Z28*(1+金融資産!$C$15)+Y29</f>
        <v>-2284.4423740558227</v>
      </c>
      <c r="AA29" s="1"/>
      <c r="AB29" s="1"/>
    </row>
    <row r="30" spans="1:28" ht="15" customHeight="1">
      <c r="A30" s="1"/>
      <c r="B30" s="178">
        <v>26</v>
      </c>
      <c r="C30" s="179">
        <f>基本情報!$C$3+B30-1</f>
        <v>2047</v>
      </c>
      <c r="D30" s="202">
        <f>IF(基本情報!$D$6="","",C30-YEAR(基本情報!$D$6)-IF(OR(MONTH(基本情報!$D$6)&gt;1,DAY(基本情報!$D$6)&gt;1),1,0))</f>
        <v>60</v>
      </c>
      <c r="E30" s="179">
        <f>IF(基本情報!$D$7="","",C30-YEAR(基本情報!$D$7)-IF(OR(MONTH(基本情報!$D$7)&gt;1,DAY(基本情報!$D$7)&gt;1),1,0))</f>
        <v>59</v>
      </c>
      <c r="F30" s="180">
        <f>IF(OR(基本情報!$D$8="",C30&lt;=YEAR(基本情報!$D$8)),"",MAX(0,C30-YEAR(基本情報!$D$8)-IF(OR(MONTH(基本情報!$D$8)&gt;1,DAY(基本情報!$D$8)&gt;1),1,0)))</f>
        <v>28</v>
      </c>
      <c r="G30" s="180">
        <f>IF(OR(基本情報!$D$9="",C30&lt;=YEAR(基本情報!$D$9)),"",MAX(0,C30-YEAR(基本情報!$D$9)-IF(OR(MONTH(基本情報!$D$9)&gt;1,DAY(基本情報!$D$9)&gt;1),1,0)))</f>
        <v>26</v>
      </c>
      <c r="H30" s="180">
        <f>IF(OR(基本情報!$D$10="",C30&lt;=YEAR(基本情報!$D$10)),"",MAX(0,C30-YEAR(基本情報!$D$10)-IF(OR(MONTH(基本情報!$D$10)&gt;1,DAY(基本情報!$D$10)&gt;1),1,0)))</f>
        <v>19</v>
      </c>
      <c r="I30" s="180">
        <f>IF(OR(基本情報!$D$11="",C30&lt;=YEAR(基本情報!$D$11)),"",MAX(0,C30-YEAR(基本情報!$D$11)-IF(OR(MONTH(基本情報!$D$11)&gt;1,DAY(基本情報!$D$11)&gt;1),1,0)))</f>
        <v>17</v>
      </c>
      <c r="J30" s="180">
        <f>IF(OR(基本情報!$D$12="",C30&lt;=YEAR(基本情報!$D$12)),"",MAX(0,C30-YEAR(基本情報!$D$12)-IF(OR(MONTH(基本情報!$D$12)&gt;1,DAY(基本情報!$D$12)&gt;1),1,0)))</f>
        <v>15</v>
      </c>
      <c r="K30" s="199">
        <f>IF(D30="","",IF(D30&lt;基本情報!$C$15,MAX(0,収入計画!$D$5*(1+収入計画!$E$5)^(B30-1)),IF(AND(D30&gt;=基本情報!$C$15,D30&lt;基本情報!$C$20),MAX(0,基本情報!$C$19*(収入計画!$D$5/収入計画!$C$5)),0)))</f>
        <v>507.84307002682476</v>
      </c>
      <c r="L30" s="181">
        <f>IF(E30="","",IF(E30&lt;基本情報!$D$15,IF(E30&lt;MAX(収入計画!$C$11,収入計画!$C$14,収入計画!$C$17,収入計画!$C$20,収入計画!$C$23),MAX(0,収入計画!$D$6*0.5*(1+収入計画!$E$6)^(B30-1)),MAX(0,収入計画!$D$6*(1+収入計画!$E$6)^(B30-1))),IF(AND(E30&gt;=基本情報!$D$15,E30&lt;基本情報!$D$20),MAX(0,基本情報!$D$19*(収入計画!$D$6/収入計画!$C$6)),0)))</f>
        <v>309.06611079915348</v>
      </c>
      <c r="M30" s="181">
        <f>IF(OR(D30="",E30=""),"",IF(D30=基本情報!$C$15,基本情報!$C$16,0)+IF(E30=基本情報!$D$15,基本情報!$D$16,0))</f>
        <v>0</v>
      </c>
      <c r="N30" s="181" t="str">
        <f>IF(D30="","",IF(OR(D30&gt;=基本情報!$C$17,E30&gt;=基本情報!$D$17),MAX(0,IF(D30&gt;=基本情報!$C$17,基本情報!$C$18*12,0)+IF(AND(E30&lt;&gt;"",E30&gt;=基本情報!$D$17),基本情報!$D$18*12,0)),""))</f>
        <v/>
      </c>
      <c r="O30" s="181">
        <f t="shared" si="0"/>
        <v>112</v>
      </c>
      <c r="P30" s="207">
        <f t="shared" si="1"/>
        <v>928.90918082597818</v>
      </c>
      <c r="Q30" s="181">
        <f>IF(D30&lt;基本情報!$C$17,支出計画!$C$5*(1+支出計画!$D$5)^(B30-1),支出計画!$C$6*(1+支出計画!$D$6)^(D30-基本情報!$C$17))-IF(AND(F30&gt;=22,F30&lt;&gt;""),支出計画!$C$45,0)</f>
        <v>348.72959850517026</v>
      </c>
      <c r="R30" s="181">
        <f>IF(C30&lt;住宅ローン償還表!$C$9,支出計画!$C$7,0)</f>
        <v>0</v>
      </c>
      <c r="S30" s="181">
        <f>IFERROR(VLOOKUP(C30,住宅ローン償還表!$C$17:$H$46,6,FALSE()),0)</f>
        <v>0</v>
      </c>
      <c r="T30" s="196">
        <f>(IF(ライフイベント表!F29="",0,IF(AND(ライフイベント表!F29&gt;=0,ライフイベント表!F29&lt;=5),支出計画!$D$24,IF(AND(ライフイベント表!F29&gt;=6,ライフイベント表!F29&lt;=11),支出計画!$D$25,IF(AND(ライフイベント表!F29&gt;=12,ライフイベント表!F29&lt;=14),支出計画!$D$26,IF(AND(ライフイベント表!F29&gt;=15,ライフイベント表!F29&lt;=17),支出計画!$D$27,IF(ライフイベント表!F29=18,支出計画!$D$28,IF(AND(ライフイベント表!F29&gt;=19,ライフイベント表!F29&lt;=21),支出計画!$D$29,0)))))))+IF(ライフイベント表!G29="",0,IF(AND(ライフイベント表!G29&gt;=0,ライフイベント表!G29&lt;=5),支出計画!$D$24,IF(AND(ライフイベント表!G29&gt;=6,ライフイベント表!G29&lt;=11),支出計画!$D$25,IF(AND(ライフイベント表!G29&gt;=12,ライフイベント表!G29&lt;=14),支出計画!$D$26,IF(AND(ライフイベント表!G29&gt;=15,ライフイベント表!G29&lt;=17),支出計画!$D$27,IF(ライフイベント表!G29=18,支出計画!$D$28,IF(AND(ライフイベント表!G29&gt;=19,ライフイベント表!G29&lt;=21),支出計画!$D$29,0)))))))+IF(ライフイベント表!H29="",0,IF(AND(ライフイベント表!H29&gt;=0,ライフイベント表!H29&lt;=5),支出計画!$D$24,IF(AND(ライフイベント表!H29&gt;=6,ライフイベント表!H29&lt;=11),支出計画!$D$25,IF(AND(ライフイベント表!H29&gt;=12,ライフイベント表!H29&lt;=14),支出計画!$D$26,IF(AND(ライフイベント表!H29&gt;=15,ライフイベント表!H29&lt;=17),支出計画!$D$27,IF(ライフイベント表!H29=18,支出計画!$D$28,IF(AND(ライフイベント表!H29&gt;=19,ライフイベント表!H29&lt;=21),支出計画!$D$29,0)))))))+IF(ライフイベント表!I29="",0,IF(AND(ライフイベント表!I29&gt;=0,ライフイベント表!I29&lt;=5),支出計画!$D$24,IF(AND(ライフイベント表!I29&gt;=6,ライフイベント表!I29&lt;=11),支出計画!$D$25,IF(AND(ライフイベント表!I29&gt;=12,ライフイベント表!I29&lt;=14),支出計画!$D$26,IF(AND(ライフイベント表!I29&gt;=15,ライフイベント表!I29&lt;=17),支出計画!$D$27,IF(ライフイベント表!I29=18,支出計画!$D$28,IF(AND(ライフイベント表!I29&gt;=19,ライフイベント表!I29&lt;=21),支出計画!$D$29,0)))))))+IF(ライフイベント表!J29="",0,IF(AND(ライフイベント表!J29&gt;=0,ライフイベント表!J29&lt;=5),支出計画!$D$24,IF(AND(ライフイベント表!J29&gt;=6,ライフイベント表!J29&lt;=11),支出計画!$D$25,IF(AND(ライフイベント表!J29&gt;=12,ライフイベント表!J29&lt;=14),支出計画!$D$26,IF(AND(ライフイベント表!J29&gt;=15,ライフイベント表!J29&lt;=17),支出計画!$D$27,IF(ライフイベント表!J29=18,支出計画!$D$28,IF(AND(ライフイベント表!J29&gt;=19,ライフイベント表!J29&lt;=21),支出計画!$D$29,0))))))))*POWER(1.02,B30-1)</f>
        <v>497.10361632281302</v>
      </c>
      <c r="U30" s="181">
        <f>SUMPRODUCT((保険!$G$5:$G$12&lt;=C30)*(保険!$H$5:$H$12&gt;=C30)*保険!$F$5:$F$12)</f>
        <v>13.24</v>
      </c>
      <c r="V30" s="181">
        <f>支出計画!$C$9</f>
        <v>36</v>
      </c>
      <c r="W30" s="181">
        <f>IF(AND(C30&gt;=支出計画!$D$35,C30&lt;=支出計画!$F$35,MOD(C30-支出計画!$D$35,支出計画!$E$35)=0),支出計画!$C$35,0)+IF(AND(C30&gt;=支出計画!$D$36,C30&lt;=支出計画!$F$36,MOD(C30-支出計画!$D$36,支出計画!$E$36)=0),支出計画!$C$36,0)+IF(C30=支出計画!$D$37,支出計画!$C$37,0)+IF(C30=支出計画!$D$38,支出計画!$C$38,0)</f>
        <v>0</v>
      </c>
      <c r="X30" s="182">
        <f t="shared" si="2"/>
        <v>895.07321482798329</v>
      </c>
      <c r="Y30" s="182">
        <f t="shared" si="3"/>
        <v>33.83596599799489</v>
      </c>
      <c r="Z30" s="182">
        <f>Z29*(1+金融資産!$C$15)+Y30</f>
        <v>-2262.0286199281063</v>
      </c>
      <c r="AA30" s="1"/>
      <c r="AB30" s="1"/>
    </row>
    <row r="31" spans="1:28" ht="15" customHeight="1">
      <c r="A31" s="1"/>
      <c r="B31" s="167">
        <v>27</v>
      </c>
      <c r="C31" s="168">
        <f>基本情報!$C$3+B31-1</f>
        <v>2048</v>
      </c>
      <c r="D31" s="200">
        <f>IF(基本情報!$D$6="","",C31-YEAR(基本情報!$D$6)-IF(OR(MONTH(基本情報!$D$6)&gt;1,DAY(基本情報!$D$6)&gt;1),1,0))</f>
        <v>61</v>
      </c>
      <c r="E31" s="168">
        <f>IF(基本情報!$D$7="","",C31-YEAR(基本情報!$D$7)-IF(OR(MONTH(基本情報!$D$7)&gt;1,DAY(基本情報!$D$7)&gt;1),1,0))</f>
        <v>60</v>
      </c>
      <c r="F31" s="169">
        <f>IF(OR(基本情報!$D$8="",C31&lt;=YEAR(基本情報!$D$8)),"",MAX(0,C31-YEAR(基本情報!$D$8)-IF(OR(MONTH(基本情報!$D$8)&gt;1,DAY(基本情報!$D$8)&gt;1),1,0)))</f>
        <v>29</v>
      </c>
      <c r="G31" s="169">
        <f>IF(OR(基本情報!$D$9="",C31&lt;=YEAR(基本情報!$D$9)),"",MAX(0,C31-YEAR(基本情報!$D$9)-IF(OR(MONTH(基本情報!$D$9)&gt;1,DAY(基本情報!$D$9)&gt;1),1,0)))</f>
        <v>27</v>
      </c>
      <c r="H31" s="169">
        <f>IF(OR(基本情報!$D$10="",C31&lt;=YEAR(基本情報!$D$10)),"",MAX(0,C31-YEAR(基本情報!$D$10)-IF(OR(MONTH(基本情報!$D$10)&gt;1,DAY(基本情報!$D$10)&gt;1),1,0)))</f>
        <v>20</v>
      </c>
      <c r="I31" s="169">
        <f>IF(OR(基本情報!$D$11="",C31&lt;=YEAR(基本情報!$D$11)),"",MAX(0,C31-YEAR(基本情報!$D$11)-IF(OR(MONTH(基本情報!$D$11)&gt;1,DAY(基本情報!$D$11)&gt;1),1,0)))</f>
        <v>18</v>
      </c>
      <c r="J31" s="169">
        <f>IF(OR(基本情報!$D$12="",C31&lt;=YEAR(基本情報!$D$12)),"",MAX(0,C31-YEAR(基本情報!$D$12)-IF(OR(MONTH(基本情報!$D$12)&gt;1,DAY(基本情報!$D$12)&gt;1),1,0)))</f>
        <v>16</v>
      </c>
      <c r="K31" s="197">
        <f>IF(D31="","",IF(D31&lt;基本情報!$C$15,MAX(0,収入計画!$D$5*(1+収入計画!$E$5)^(B31-1)),IF(AND(D31&gt;=基本情報!$C$15,D31&lt;基本情報!$C$20),MAX(0,基本情報!$C$19*(収入計画!$D$5/収入計画!$C$5)),0)))</f>
        <v>512.92150072709296</v>
      </c>
      <c r="L31" s="170">
        <f>IF(E31="","",IF(E31&lt;基本情報!$D$15,IF(E31&lt;MAX(収入計画!$C$11,収入計画!$C$14,収入計画!$C$17,収入計画!$C$20,収入計画!$C$23),MAX(0,収入計画!$D$6*0.5*(1+収入計画!$E$6)^(B31-1)),MAX(0,収入計画!$D$6*(1+収入計画!$E$6)^(B31-1))),IF(AND(E31&gt;=基本情報!$D$15,E31&lt;基本情報!$D$20),MAX(0,基本情報!$D$19*(収入計画!$D$6/収入計画!$C$6)),0)))</f>
        <v>312.15677190714496</v>
      </c>
      <c r="M31" s="170">
        <f>IF(OR(D31="",E31=""),"",IF(D31=基本情報!$C$15,基本情報!$C$16,0)+IF(E31=基本情報!$D$15,基本情報!$D$16,0))</f>
        <v>0</v>
      </c>
      <c r="N31" s="170" t="str">
        <f>IF(D31="","",IF(OR(D31&gt;=基本情報!$C$17,E31&gt;=基本情報!$D$17),MAX(0,IF(D31&gt;=基本情報!$C$17,基本情報!$C$18*12,0)+IF(AND(E31&lt;&gt;"",E31&gt;=基本情報!$D$17),基本情報!$D$18*12,0)),""))</f>
        <v/>
      </c>
      <c r="O31" s="170">
        <f t="shared" si="0"/>
        <v>0</v>
      </c>
      <c r="P31" s="205">
        <f t="shared" si="1"/>
        <v>825.07827263423792</v>
      </c>
      <c r="Q31" s="170">
        <f>IF(D31&lt;基本情報!$C$17,支出計画!$C$5*(1+支出計画!$D$5)^(B31-1),支出計画!$C$6*(1+支出計画!$D$6)^(D31-基本情報!$C$17))-IF(AND(F31&gt;=22,F31&lt;&gt;""),支出計画!$C$45,0)</f>
        <v>352.57689449022195</v>
      </c>
      <c r="R31" s="170">
        <f>IF(C31&lt;住宅ローン償還表!$C$9,支出計画!$C$7,0)</f>
        <v>0</v>
      </c>
      <c r="S31" s="170">
        <f>IFERROR(VLOOKUP(C31,住宅ローン償還表!$C$17:$H$46,6,FALSE()),0)</f>
        <v>0</v>
      </c>
      <c r="T31" s="194">
        <f>(IF(ライフイベント表!F30="",0,IF(AND(ライフイベント表!F30&gt;=0,ライフイベント表!F30&lt;=5),支出計画!$D$24,IF(AND(ライフイベント表!F30&gt;=6,ライフイベント表!F30&lt;=11),支出計画!$D$25,IF(AND(ライフイベント表!F30&gt;=12,ライフイベント表!F30&lt;=14),支出計画!$D$26,IF(AND(ライフイベント表!F30&gt;=15,ライフイベント表!F30&lt;=17),支出計画!$D$27,IF(ライフイベント表!F30=18,支出計画!$D$28,IF(AND(ライフイベント表!F30&gt;=19,ライフイベント表!F30&lt;=21),支出計画!$D$29,0)))))))+IF(ライフイベント表!G30="",0,IF(AND(ライフイベント表!G30&gt;=0,ライフイベント表!G30&lt;=5),支出計画!$D$24,IF(AND(ライフイベント表!G30&gt;=6,ライフイベント表!G30&lt;=11),支出計画!$D$25,IF(AND(ライフイベント表!G30&gt;=12,ライフイベント表!G30&lt;=14),支出計画!$D$26,IF(AND(ライフイベント表!G30&gt;=15,ライフイベント表!G30&lt;=17),支出計画!$D$27,IF(ライフイベント表!G30=18,支出計画!$D$28,IF(AND(ライフイベント表!G30&gt;=19,ライフイベント表!G30&lt;=21),支出計画!$D$29,0)))))))+IF(ライフイベント表!H30="",0,IF(AND(ライフイベント表!H30&gt;=0,ライフイベント表!H30&lt;=5),支出計画!$D$24,IF(AND(ライフイベント表!H30&gt;=6,ライフイベント表!H30&lt;=11),支出計画!$D$25,IF(AND(ライフイベント表!H30&gt;=12,ライフイベント表!H30&lt;=14),支出計画!$D$26,IF(AND(ライフイベント表!H30&gt;=15,ライフイベント表!H30&lt;=17),支出計画!$D$27,IF(ライフイベント表!H30=18,支出計画!$D$28,IF(AND(ライフイベント表!H30&gt;=19,ライフイベント表!H30&lt;=21),支出計画!$D$29,0)))))))+IF(ライフイベント表!I30="",0,IF(AND(ライフイベント表!I30&gt;=0,ライフイベント表!I30&lt;=5),支出計画!$D$24,IF(AND(ライフイベント表!I30&gt;=6,ライフイベント表!I30&lt;=11),支出計画!$D$25,IF(AND(ライフイベント表!I30&gt;=12,ライフイベント表!I30&lt;=14),支出計画!$D$26,IF(AND(ライフイベント表!I30&gt;=15,ライフイベント表!I30&lt;=17),支出計画!$D$27,IF(ライフイベント表!I30=18,支出計画!$D$28,IF(AND(ライフイベント表!I30&gt;=19,ライフイベント表!I30&lt;=21),支出計画!$D$29,0)))))))+IF(ライフイベント表!J30="",0,IF(AND(ライフイベント表!J30&gt;=0,ライフイベント表!J30&lt;=5),支出計画!$D$24,IF(AND(ライフイベント表!J30&gt;=6,ライフイベント表!J30&lt;=11),支出計画!$D$25,IF(AND(ライフイベント表!J30&gt;=12,ライフイベント表!J30&lt;=14),支出計画!$D$26,IF(AND(ライフイベント表!J30&gt;=15,ライフイベント表!J30&lt;=17),支出計画!$D$27,IF(ライフイベント表!J30=18,支出計画!$D$28,IF(AND(ライフイベント表!J30&gt;=19,ライフイベント表!J30&lt;=21),支出計画!$D$29,0))))))))*POWER(1.02,B31-1)</f>
        <v>568.96215888036829</v>
      </c>
      <c r="U31" s="170">
        <f>SUMPRODUCT((保険!$G$5:$G$12&lt;=C31)*(保険!$H$5:$H$12&gt;=C31)*保険!$F$5:$F$12)</f>
        <v>13.24</v>
      </c>
      <c r="V31" s="170">
        <f>支出計画!$C$9</f>
        <v>36</v>
      </c>
      <c r="W31" s="170">
        <f>IF(AND(C31&gt;=支出計画!$D$35,C31&lt;=支出計画!$F$35,MOD(C31-支出計画!$D$35,支出計画!$E$35)=0),支出計画!$C$35,0)+IF(AND(C31&gt;=支出計画!$D$36,C31&lt;=支出計画!$F$36,MOD(C31-支出計画!$D$36,支出計画!$E$36)=0),支出計画!$C$36,0)+IF(C31=支出計画!$D$37,支出計画!$C$37,0)+IF(C31=支出計画!$D$38,支出計画!$C$38,0)</f>
        <v>0</v>
      </c>
      <c r="X31" s="172">
        <f t="shared" si="2"/>
        <v>970.77905337059019</v>
      </c>
      <c r="Y31" s="172">
        <f t="shared" si="3"/>
        <v>-145.70078073635227</v>
      </c>
      <c r="Z31" s="172">
        <f>Z30*(1+金融資産!$C$15)+Y31</f>
        <v>-2419.0395437640991</v>
      </c>
      <c r="AA31" s="1"/>
      <c r="AB31" s="1"/>
    </row>
    <row r="32" spans="1:28" ht="15" customHeight="1">
      <c r="A32" s="1"/>
      <c r="B32" s="167">
        <v>28</v>
      </c>
      <c r="C32" s="168">
        <f>基本情報!$C$3+B32-1</f>
        <v>2049</v>
      </c>
      <c r="D32" s="200">
        <f>IF(基本情報!$D$6="","",C32-YEAR(基本情報!$D$6)-IF(OR(MONTH(基本情報!$D$6)&gt;1,DAY(基本情報!$D$6)&gt;1),1,0))</f>
        <v>62</v>
      </c>
      <c r="E32" s="168">
        <f>IF(基本情報!$D$7="","",C32-YEAR(基本情報!$D$7)-IF(OR(MONTH(基本情報!$D$7)&gt;1,DAY(基本情報!$D$7)&gt;1),1,0))</f>
        <v>61</v>
      </c>
      <c r="F32" s="169">
        <f>IF(OR(基本情報!$D$8="",C32&lt;=YEAR(基本情報!$D$8)),"",MAX(0,C32-YEAR(基本情報!$D$8)-IF(OR(MONTH(基本情報!$D$8)&gt;1,DAY(基本情報!$D$8)&gt;1),1,0)))</f>
        <v>30</v>
      </c>
      <c r="G32" s="169">
        <f>IF(OR(基本情報!$D$9="",C32&lt;=YEAR(基本情報!$D$9)),"",MAX(0,C32-YEAR(基本情報!$D$9)-IF(OR(MONTH(基本情報!$D$9)&gt;1,DAY(基本情報!$D$9)&gt;1),1,0)))</f>
        <v>28</v>
      </c>
      <c r="H32" s="169">
        <f>IF(OR(基本情報!$D$10="",C32&lt;=YEAR(基本情報!$D$10)),"",MAX(0,C32-YEAR(基本情報!$D$10)-IF(OR(MONTH(基本情報!$D$10)&gt;1,DAY(基本情報!$D$10)&gt;1),1,0)))</f>
        <v>21</v>
      </c>
      <c r="I32" s="169">
        <f>IF(OR(基本情報!$D$11="",C32&lt;=YEAR(基本情報!$D$11)),"",MAX(0,C32-YEAR(基本情報!$D$11)-IF(OR(MONTH(基本情報!$D$11)&gt;1,DAY(基本情報!$D$11)&gt;1),1,0)))</f>
        <v>19</v>
      </c>
      <c r="J32" s="169">
        <f>IF(OR(基本情報!$D$12="",C32&lt;=YEAR(基本情報!$D$12)),"",MAX(0,C32-YEAR(基本情報!$D$12)-IF(OR(MONTH(基本情報!$D$12)&gt;1,DAY(基本情報!$D$12)&gt;1),1,0)))</f>
        <v>17</v>
      </c>
      <c r="K32" s="197">
        <f>IF(D32="","",IF(D32&lt;基本情報!$C$15,MAX(0,収入計画!$D$5*(1+収入計画!$E$5)^(B32-1)),IF(AND(D32&gt;=基本情報!$C$15,D32&lt;基本情報!$C$20),MAX(0,基本情報!$C$19*(収入計画!$D$5/収入計画!$C$5)),0)))</f>
        <v>518.05071573436373</v>
      </c>
      <c r="L32" s="170">
        <f>IF(E32="","",IF(E32&lt;基本情報!$D$15,IF(E32&lt;MAX(収入計画!$C$11,収入計画!$C$14,収入計画!$C$17,収入計画!$C$20,収入計画!$C$23),MAX(0,収入計画!$D$6*0.5*(1+収入計画!$E$6)^(B32-1)),MAX(0,収入計画!$D$6*(1+収入計画!$E$6)^(B32-1))),IF(AND(E32&gt;=基本情報!$D$15,E32&lt;基本情報!$D$20),MAX(0,基本情報!$D$19*(収入計画!$D$6/収入計画!$C$6)),0)))</f>
        <v>315.27833962621634</v>
      </c>
      <c r="M32" s="170">
        <f>IF(OR(D32="",E32=""),"",IF(D32=基本情報!$C$15,基本情報!$C$16,0)+IF(E32=基本情報!$D$15,基本情報!$D$16,0))</f>
        <v>0</v>
      </c>
      <c r="N32" s="170" t="str">
        <f>IF(D32="","",IF(OR(D32&gt;=基本情報!$C$17,E32&gt;=基本情報!$D$17),MAX(0,IF(D32&gt;=基本情報!$C$17,基本情報!$C$18*12,0)+IF(AND(E32&lt;&gt;"",E32&gt;=基本情報!$D$17),基本情報!$D$18*12,0)),""))</f>
        <v/>
      </c>
      <c r="O32" s="170">
        <f t="shared" si="0"/>
        <v>100</v>
      </c>
      <c r="P32" s="205">
        <f t="shared" si="1"/>
        <v>933.32905536058001</v>
      </c>
      <c r="Q32" s="170">
        <f>IF(D32&lt;基本情報!$C$17,支出計画!$C$5*(1+支出計画!$D$5)^(B32-1),支出計画!$C$6*(1+支出計画!$D$6)^(D32-基本情報!$C$17))-IF(AND(F32&gt;=22,F32&lt;&gt;""),支出計画!$C$45,0)</f>
        <v>356.46266343512406</v>
      </c>
      <c r="R32" s="170">
        <f>IF(C32&lt;住宅ローン償還表!$C$9,支出計画!$C$7,0)</f>
        <v>0</v>
      </c>
      <c r="S32" s="170">
        <f>IFERROR(VLOOKUP(C32,住宅ローン償還表!$C$17:$H$46,6,FALSE()),0)</f>
        <v>0</v>
      </c>
      <c r="T32" s="194">
        <f>(IF(ライフイベント表!F31="",0,IF(AND(ライフイベント表!F31&gt;=0,ライフイベント表!F31&lt;=5),支出計画!$D$24,IF(AND(ライフイベント表!F31&gt;=6,ライフイベント表!F31&lt;=11),支出計画!$D$25,IF(AND(ライフイベント表!F31&gt;=12,ライフイベント表!F31&lt;=14),支出計画!$D$26,IF(AND(ライフイベント表!F31&gt;=15,ライフイベント表!F31&lt;=17),支出計画!$D$27,IF(ライフイベント表!F31=18,支出計画!$D$28,IF(AND(ライフイベント表!F31&gt;=19,ライフイベント表!F31&lt;=21),支出計画!$D$29,0)))))))+IF(ライフイベント表!G31="",0,IF(AND(ライフイベント表!G31&gt;=0,ライフイベント表!G31&lt;=5),支出計画!$D$24,IF(AND(ライフイベント表!G31&gt;=6,ライフイベント表!G31&lt;=11),支出計画!$D$25,IF(AND(ライフイベント表!G31&gt;=12,ライフイベント表!G31&lt;=14),支出計画!$D$26,IF(AND(ライフイベント表!G31&gt;=15,ライフイベント表!G31&lt;=17),支出計画!$D$27,IF(ライフイベント表!G31=18,支出計画!$D$28,IF(AND(ライフイベント表!G31&gt;=19,ライフイベント表!G31&lt;=21),支出計画!$D$29,0)))))))+IF(ライフイベント表!H31="",0,IF(AND(ライフイベント表!H31&gt;=0,ライフイベント表!H31&lt;=5),支出計画!$D$24,IF(AND(ライフイベント表!H31&gt;=6,ライフイベント表!H31&lt;=11),支出計画!$D$25,IF(AND(ライフイベント表!H31&gt;=12,ライフイベント表!H31&lt;=14),支出計画!$D$26,IF(AND(ライフイベント表!H31&gt;=15,ライフイベント表!H31&lt;=17),支出計画!$D$27,IF(ライフイベント表!H31=18,支出計画!$D$28,IF(AND(ライフイベント表!H31&gt;=19,ライフイベント表!H31&lt;=21),支出計画!$D$29,0)))))))+IF(ライフイベント表!I31="",0,IF(AND(ライフイベント表!I31&gt;=0,ライフイベント表!I31&lt;=5),支出計画!$D$24,IF(AND(ライフイベント表!I31&gt;=6,ライフイベント表!I31&lt;=11),支出計画!$D$25,IF(AND(ライフイベント表!I31&gt;=12,ライフイベント表!I31&lt;=14),支出計画!$D$26,IF(AND(ライフイベント表!I31&gt;=15,ライフイベント表!I31&lt;=17),支出計画!$D$27,IF(ライフイベント表!I31=18,支出計画!$D$28,IF(AND(ライフイベント表!I31&gt;=19,ライフイベント表!I31&lt;=21),支出計画!$D$29,0)))))))+IF(ライフイベント表!J31="",0,IF(AND(ライフイベント表!J31&gt;=0,ライフイベント表!J31&lt;=5),支出計画!$D$24,IF(AND(ライフイベント表!J31&gt;=6,ライフイベント表!J31&lt;=11),支出計画!$D$25,IF(AND(ライフイベント表!J31&gt;=12,ライフイベント表!J31&lt;=14),支出計画!$D$26,IF(AND(ライフイベント表!J31&gt;=15,ライフイベント表!J31&lt;=17),支出計画!$D$27,IF(ライフイベント表!J31=18,支出計画!$D$28,IF(AND(ライフイベント表!J31&gt;=19,ライフイベント表!J31&lt;=21),支出計画!$D$29,0))))))))*POWER(1.02,B32-1)</f>
        <v>537.66924014194797</v>
      </c>
      <c r="U32" s="170">
        <f>SUMPRODUCT((保険!$G$5:$G$12&lt;=C32)*(保険!$H$5:$H$12&gt;=C32)*保険!$F$5:$F$12)</f>
        <v>7</v>
      </c>
      <c r="V32" s="170">
        <f>支出計画!$C$9</f>
        <v>36</v>
      </c>
      <c r="W32" s="170">
        <f>IF(AND(C32&gt;=支出計画!$D$35,C32&lt;=支出計画!$F$35,MOD(C32-支出計画!$D$35,支出計画!$E$35)=0),支出計画!$C$35,0)+IF(AND(C32&gt;=支出計画!$D$36,C32&lt;=支出計画!$F$36,MOD(C32-支出計画!$D$36,支出計画!$E$36)=0),支出計画!$C$36,0)+IF(C32=支出計画!$D$37,支出計画!$C$37,0)+IF(C32=支出計画!$D$38,支出計画!$C$38,0)</f>
        <v>0</v>
      </c>
      <c r="X32" s="172">
        <f t="shared" si="2"/>
        <v>937.13190357707208</v>
      </c>
      <c r="Y32" s="172">
        <f t="shared" si="3"/>
        <v>-3.8028482164920661</v>
      </c>
      <c r="Z32" s="172">
        <f>Z31*(1+金融資産!$C$15)+Y32</f>
        <v>-2434.9375896994115</v>
      </c>
      <c r="AA32" s="1"/>
      <c r="AB32" s="1"/>
    </row>
    <row r="33" spans="1:28" ht="15" customHeight="1">
      <c r="A33" s="1"/>
      <c r="B33" s="167">
        <v>29</v>
      </c>
      <c r="C33" s="168">
        <f>基本情報!$C$3+B33-1</f>
        <v>2050</v>
      </c>
      <c r="D33" s="200">
        <f>IF(基本情報!$D$6="","",C33-YEAR(基本情報!$D$6)-IF(OR(MONTH(基本情報!$D$6)&gt;1,DAY(基本情報!$D$6)&gt;1),1,0))</f>
        <v>63</v>
      </c>
      <c r="E33" s="168">
        <f>IF(基本情報!$D$7="","",C33-YEAR(基本情報!$D$7)-IF(OR(MONTH(基本情報!$D$7)&gt;1,DAY(基本情報!$D$7)&gt;1),1,0))</f>
        <v>62</v>
      </c>
      <c r="F33" s="169">
        <f>IF(OR(基本情報!$D$8="",C33&lt;=YEAR(基本情報!$D$8)),"",MAX(0,C33-YEAR(基本情報!$D$8)-IF(OR(MONTH(基本情報!$D$8)&gt;1,DAY(基本情報!$D$8)&gt;1),1,0)))</f>
        <v>31</v>
      </c>
      <c r="G33" s="169">
        <f>IF(OR(基本情報!$D$9="",C33&lt;=YEAR(基本情報!$D$9)),"",MAX(0,C33-YEAR(基本情報!$D$9)-IF(OR(MONTH(基本情報!$D$9)&gt;1,DAY(基本情報!$D$9)&gt;1),1,0)))</f>
        <v>29</v>
      </c>
      <c r="H33" s="169">
        <f>IF(OR(基本情報!$D$10="",C33&lt;=YEAR(基本情報!$D$10)),"",MAX(0,C33-YEAR(基本情報!$D$10)-IF(OR(MONTH(基本情報!$D$10)&gt;1,DAY(基本情報!$D$10)&gt;1),1,0)))</f>
        <v>22</v>
      </c>
      <c r="I33" s="169">
        <f>IF(OR(基本情報!$D$11="",C33&lt;=YEAR(基本情報!$D$11)),"",MAX(0,C33-YEAR(基本情報!$D$11)-IF(OR(MONTH(基本情報!$D$11)&gt;1,DAY(基本情報!$D$11)&gt;1),1,0)))</f>
        <v>20</v>
      </c>
      <c r="J33" s="169">
        <f>IF(OR(基本情報!$D$12="",C33&lt;=YEAR(基本情報!$D$12)),"",MAX(0,C33-YEAR(基本情報!$D$12)-IF(OR(MONTH(基本情報!$D$12)&gt;1,DAY(基本情報!$D$12)&gt;1),1,0)))</f>
        <v>18</v>
      </c>
      <c r="K33" s="197">
        <f>IF(D33="","",IF(D33&lt;基本情報!$C$15,MAX(0,収入計画!$D$5*(1+収入計画!$E$5)^(B33-1)),IF(AND(D33&gt;=基本情報!$C$15,D33&lt;基本情報!$C$20),MAX(0,基本情報!$C$19*(収入計画!$D$5/収入計画!$C$5)),0)))</f>
        <v>523.23122289170749</v>
      </c>
      <c r="L33" s="170">
        <f>IF(E33="","",IF(E33&lt;基本情報!$D$15,IF(E33&lt;MAX(収入計画!$C$11,収入計画!$C$14,収入計画!$C$17,収入計画!$C$20,収入計画!$C$23),MAX(0,収入計画!$D$6*0.5*(1+収入計画!$E$6)^(B33-1)),MAX(0,収入計画!$D$6*(1+収入計画!$E$6)^(B33-1))),IF(AND(E33&gt;=基本情報!$D$15,E33&lt;基本情報!$D$20),MAX(0,基本情報!$D$19*(収入計画!$D$6/収入計画!$C$6)),0)))</f>
        <v>318.43112302247852</v>
      </c>
      <c r="M33" s="170">
        <f>IF(OR(D33="",E33=""),"",IF(D33=基本情報!$C$15,基本情報!$C$16,0)+IF(E33=基本情報!$D$15,基本情報!$D$16,0))</f>
        <v>0</v>
      </c>
      <c r="N33" s="170" t="str">
        <f>IF(D33="","",IF(OR(D33&gt;=基本情報!$C$17,E33&gt;=基本情報!$D$17),MAX(0,IF(D33&gt;=基本情報!$C$17,基本情報!$C$18*12,0)+IF(AND(E33&lt;&gt;"",E33&gt;=基本情報!$D$17),基本情報!$D$18*12,0)),""))</f>
        <v/>
      </c>
      <c r="O33" s="170">
        <f t="shared" si="0"/>
        <v>0</v>
      </c>
      <c r="P33" s="205">
        <f t="shared" si="1"/>
        <v>841.66234591418606</v>
      </c>
      <c r="Q33" s="170">
        <f>IF(D33&lt;基本情報!$C$17,支出計画!$C$5*(1+支出計画!$D$5)^(B33-1),支出計画!$C$6*(1+支出計画!$D$6)^(D33-基本情報!$C$17))-IF(AND(F33&gt;=22,F33&lt;&gt;""),支出計画!$C$45,0)</f>
        <v>360.38729006947534</v>
      </c>
      <c r="R33" s="170">
        <f>IF(C33&lt;住宅ローン償還表!$C$9,支出計画!$C$7,0)</f>
        <v>0</v>
      </c>
      <c r="S33" s="170">
        <f>IFERROR(VLOOKUP(C33,住宅ローン償還表!$C$17:$H$46,6,FALSE()),0)</f>
        <v>0</v>
      </c>
      <c r="T33" s="197">
        <f>(IF(ライフイベント表!F32="",0,IF(AND(ライフイベント表!F32&gt;=0,ライフイベント表!F32&lt;=5),支出計画!$D$24,IF(AND(ライフイベント表!F32&gt;=6,ライフイベント表!F32&lt;=11),支出計画!$D$25,IF(AND(ライフイベント表!F32&gt;=12,ライフイベント表!F32&lt;=14),支出計画!$D$26,IF(AND(ライフイベント表!F32&gt;=15,ライフイベント表!F32&lt;=17),支出計画!$D$27,IF(ライフイベント表!F32=18,支出計画!$D$28,IF(AND(ライフイベント表!F32&gt;=19,ライフイベント表!F32&lt;=21),支出計画!$D$29,0)))))))+IF(ライフイベント表!G32="",0,IF(AND(ライフイベント表!G32&gt;=0,ライフイベント表!G32&lt;=5),支出計画!$D$24,IF(AND(ライフイベント表!G32&gt;=6,ライフイベント表!G32&lt;=11),支出計画!$D$25,IF(AND(ライフイベント表!G32&gt;=12,ライフイベント表!G32&lt;=14),支出計画!$D$26,IF(AND(ライフイベント表!G32&gt;=15,ライフイベント表!G32&lt;=17),支出計画!$D$27,IF(ライフイベント表!G32=18,支出計画!$D$28,IF(AND(ライフイベント表!G32&gt;=19,ライフイベント表!G32&lt;=21),支出計画!$D$29,0)))))))+IF(ライフイベント表!H32="",0,IF(AND(ライフイベント表!H32&gt;=0,ライフイベント表!H32&lt;=5),支出計画!$D$24,IF(AND(ライフイベント表!H32&gt;=6,ライフイベント表!H32&lt;=11),支出計画!$D$25,IF(AND(ライフイベント表!H32&gt;=12,ライフイベント表!H32&lt;=14),支出計画!$D$26,IF(AND(ライフイベント表!H32&gt;=15,ライフイベント表!H32&lt;=17),支出計画!$D$27,IF(ライフイベント表!H32=18,支出計画!$D$28,IF(AND(ライフイベント表!H32&gt;=19,ライフイベント表!H32&lt;=21),支出計画!$D$29,0)))))))+IF(ライフイベント表!I32="",0,IF(AND(ライフイベント表!I32&gt;=0,ライフイベント表!I32&lt;=5),支出計画!$D$24,IF(AND(ライフイベント表!I32&gt;=6,ライフイベント表!I32&lt;=11),支出計画!$D$25,IF(AND(ライフイベント表!I32&gt;=12,ライフイベント表!I32&lt;=14),支出計画!$D$26,IF(AND(ライフイベント表!I32&gt;=15,ライフイベント表!I32&lt;=17),支出計画!$D$27,IF(ライフイベント表!I32=18,支出計画!$D$28,IF(AND(ライフイベント表!I32&gt;=19,ライフイベント表!I32&lt;=21),支出計画!$D$29,0)))))))+IF(ライフイベント表!J32="",0,IF(AND(ライフイベント表!J32&gt;=0,ライフイベント表!J32&lt;=5),支出計画!$D$24,IF(AND(ライフイベント表!J32&gt;=6,ライフイベント表!J32&lt;=11),支出計画!$D$25,IF(AND(ライフイベント表!J32&gt;=12,ライフイベント表!J32&lt;=14),支出計画!$D$26,IF(AND(ライフイベント表!J32&gt;=15,ライフイベント表!J32&lt;=17),支出計画!$D$27,IF(ライフイベント表!J32=18,支出計画!$D$28,IF(AND(ライフイベント表!J32&gt;=19,ライフイベント表!J32&lt;=21),支出計画!$D$29,0))))))))*POWER(1.02,B33-1)</f>
        <v>423.06888210026426</v>
      </c>
      <c r="U33" s="170">
        <f>SUMPRODUCT((保険!$G$5:$G$12&lt;=C33)*(保険!$H$5:$H$12&gt;=C33)*保険!$F$5:$F$12)</f>
        <v>7</v>
      </c>
      <c r="V33" s="170">
        <f>支出計画!$C$9</f>
        <v>36</v>
      </c>
      <c r="W33" s="170">
        <f>IF(AND(C33&gt;=支出計画!$D$35,C33&lt;=支出計画!$F$35,MOD(C33-支出計画!$D$35,支出計画!$E$35)=0),支出計画!$C$35,0)+IF(AND(C33&gt;=支出計画!$D$36,C33&lt;=支出計画!$F$36,MOD(C33-支出計画!$D$36,支出計画!$E$36)=0),支出計画!$C$36,0)+IF(C33=支出計画!$D$37,支出計画!$C$37,0)+IF(C33=支出計画!$D$38,支出計画!$C$38,0)</f>
        <v>200</v>
      </c>
      <c r="X33" s="172">
        <f t="shared" si="2"/>
        <v>1026.4561721697396</v>
      </c>
      <c r="Y33" s="172">
        <f t="shared" si="3"/>
        <v>-184.79382625555354</v>
      </c>
      <c r="Z33" s="172">
        <f>Z32*(1+金融資産!$C$15)+Y33</f>
        <v>-2631.9061039034618</v>
      </c>
      <c r="AA33" s="1"/>
      <c r="AB33" s="1"/>
    </row>
    <row r="34" spans="1:28" ht="15" customHeight="1">
      <c r="A34" s="1"/>
      <c r="B34" s="183">
        <v>30</v>
      </c>
      <c r="C34" s="184">
        <f>基本情報!$C$3+B34-1</f>
        <v>2051</v>
      </c>
      <c r="D34" s="203">
        <f>IF(基本情報!$D$6="","",C34-YEAR(基本情報!$D$6)-IF(OR(MONTH(基本情報!$D$6)&gt;1,DAY(基本情報!$D$6)&gt;1),1,0))</f>
        <v>64</v>
      </c>
      <c r="E34" s="184">
        <f>IF(基本情報!$D$7="","",C34-YEAR(基本情報!$D$7)-IF(OR(MONTH(基本情報!$D$7)&gt;1,DAY(基本情報!$D$7)&gt;1),1,0))</f>
        <v>63</v>
      </c>
      <c r="F34" s="185">
        <f>IF(OR(基本情報!$D$8="",C34&lt;=YEAR(基本情報!$D$8)),"",MAX(0,C34-YEAR(基本情報!$D$8)-IF(OR(MONTH(基本情報!$D$8)&gt;1,DAY(基本情報!$D$8)&gt;1),1,0)))</f>
        <v>32</v>
      </c>
      <c r="G34" s="185">
        <f>IF(OR(基本情報!$D$9="",C34&lt;=YEAR(基本情報!$D$9)),"",MAX(0,C34-YEAR(基本情報!$D$9)-IF(OR(MONTH(基本情報!$D$9)&gt;1,DAY(基本情報!$D$9)&gt;1),1,0)))</f>
        <v>30</v>
      </c>
      <c r="H34" s="185">
        <f>IF(OR(基本情報!$D$10="",C34&lt;=YEAR(基本情報!$D$10)),"",MAX(0,C34-YEAR(基本情報!$D$10)-IF(OR(MONTH(基本情報!$D$10)&gt;1,DAY(基本情報!$D$10)&gt;1),1,0)))</f>
        <v>23</v>
      </c>
      <c r="I34" s="185">
        <f>IF(OR(基本情報!$D$11="",C34&lt;=YEAR(基本情報!$D$11)),"",MAX(0,C34-YEAR(基本情報!$D$11)-IF(OR(MONTH(基本情報!$D$11)&gt;1,DAY(基本情報!$D$11)&gt;1),1,0)))</f>
        <v>21</v>
      </c>
      <c r="J34" s="185">
        <f>IF(OR(基本情報!$D$12="",C34&lt;=YEAR(基本情報!$D$12)),"",MAX(0,C34-YEAR(基本情報!$D$12)-IF(OR(MONTH(基本情報!$D$12)&gt;1,DAY(基本情報!$D$12)&gt;1),1,0)))</f>
        <v>19</v>
      </c>
      <c r="K34" s="198">
        <f>IF(D34="","",IF(D34&lt;基本情報!$C$15,MAX(0,収入計画!$D$5*(1+収入計画!$E$5)^(B34-1)),IF(AND(D34&gt;=基本情報!$C$15,D34&lt;基本情報!$C$20),MAX(0,基本情報!$C$19*(収入計画!$D$5/収入計画!$C$5)),0)))</f>
        <v>528.46353512062456</v>
      </c>
      <c r="L34" s="186">
        <f>IF(E34="","",IF(E34&lt;基本情報!$D$15,IF(E34&lt;MAX(収入計画!$C$11,収入計画!$C$14,収入計画!$C$17,収入計画!$C$20,収入計画!$C$23),MAX(0,収入計画!$D$6*0.5*(1+収入計画!$E$6)^(B34-1)),MAX(0,収入計画!$D$6*(1+収入計画!$E$6)^(B34-1))),IF(AND(E34&gt;=基本情報!$D$15,E34&lt;基本情報!$D$20),MAX(0,基本情報!$D$19*(収入計画!$D$6/収入計画!$C$6)),0)))</f>
        <v>321.61543425270332</v>
      </c>
      <c r="M34" s="186">
        <f>IF(OR(D34="",E34=""),"",IF(D34=基本情報!$C$15,基本情報!$C$16,0)+IF(E34=基本情報!$D$15,基本情報!$D$16,0))</f>
        <v>0</v>
      </c>
      <c r="N34" s="186" t="str">
        <f>IF(D34="","",IF(OR(D34&gt;=基本情報!$C$17,E34&gt;=基本情報!$D$17),MAX(0,IF(D34&gt;=基本情報!$C$17,基本情報!$C$18*12,0)+IF(AND(E34&lt;&gt;"",E34&gt;=基本情報!$D$17),基本情報!$D$18*12,0)),""))</f>
        <v/>
      </c>
      <c r="O34" s="186">
        <f t="shared" si="0"/>
        <v>0</v>
      </c>
      <c r="P34" s="208">
        <f t="shared" si="1"/>
        <v>850.07896937332794</v>
      </c>
      <c r="Q34" s="186">
        <f>IF(D34&lt;基本情報!$C$17,支出計画!$C$5*(1+支出計画!$D$5)^(B34-1),支出計画!$C$6*(1+支出計画!$D$6)^(D34-基本情報!$C$17))-IF(AND(F34&gt;=22,F34&lt;&gt;""),支出計画!$C$45,0)</f>
        <v>364.35116297017009</v>
      </c>
      <c r="R34" s="186">
        <f>IF(C34&lt;住宅ローン償還表!$C$9,支出計画!$C$7,0)</f>
        <v>0</v>
      </c>
      <c r="S34" s="186">
        <f>IFERROR(VLOOKUP(C34,住宅ローン償還表!$C$17:$H$46,6,FALSE()),0)</f>
        <v>0</v>
      </c>
      <c r="T34" s="198">
        <f>(IF(ライフイベント表!F33="",0,IF(AND(ライフイベント表!F33&gt;=0,ライフイベント表!F33&lt;=5),支出計画!$D$24,IF(AND(ライフイベント表!F33&gt;=6,ライフイベント表!F33&lt;=11),支出計画!$D$25,IF(AND(ライフイベント表!F33&gt;=12,ライフイベント表!F33&lt;=14),支出計画!$D$26,IF(AND(ライフイベント表!F33&gt;=15,ライフイベント表!F33&lt;=17),支出計画!$D$27,IF(ライフイベント表!F33=18,支出計画!$D$28,IF(AND(ライフイベント表!F33&gt;=19,ライフイベント表!F33&lt;=21),支出計画!$D$29,0)))))))+IF(ライフイベント表!G33="",0,IF(AND(ライフイベント表!G33&gt;=0,ライフイベント表!G33&lt;=5),支出計画!$D$24,IF(AND(ライフイベント表!G33&gt;=6,ライフイベント表!G33&lt;=11),支出計画!$D$25,IF(AND(ライフイベント表!G33&gt;=12,ライフイベント表!G33&lt;=14),支出計画!$D$26,IF(AND(ライフイベント表!G33&gt;=15,ライフイベント表!G33&lt;=17),支出計画!$D$27,IF(ライフイベント表!G33=18,支出計画!$D$28,IF(AND(ライフイベント表!G33&gt;=19,ライフイベント表!G33&lt;=21),支出計画!$D$29,0)))))))+IF(ライフイベント表!H33="",0,IF(AND(ライフイベント表!H33&gt;=0,ライフイベント表!H33&lt;=5),支出計画!$D$24,IF(AND(ライフイベント表!H33&gt;=6,ライフイベント表!H33&lt;=11),支出計画!$D$25,IF(AND(ライフイベント表!H33&gt;=12,ライフイベント表!H33&lt;=14),支出計画!$D$26,IF(AND(ライフイベント表!H33&gt;=15,ライフイベント表!H33&lt;=17),支出計画!$D$27,IF(ライフイベント表!H33=18,支出計画!$D$28,IF(AND(ライフイベント表!H33&gt;=19,ライフイベント表!H33&lt;=21),支出計画!$D$29,0)))))))+IF(ライフイベント表!I33="",0,IF(AND(ライフイベント表!I33&gt;=0,ライフイベント表!I33&lt;=5),支出計画!$D$24,IF(AND(ライフイベント表!I33&gt;=6,ライフイベント表!I33&lt;=11),支出計画!$D$25,IF(AND(ライフイベント表!I33&gt;=12,ライフイベント表!I33&lt;=14),支出計画!$D$26,IF(AND(ライフイベント表!I33&gt;=15,ライフイベント表!I33&lt;=17),支出計画!$D$27,IF(ライフイベント表!I33=18,支出計画!$D$28,IF(AND(ライフイベント表!I33&gt;=19,ライフイベント表!I33&lt;=21),支出計画!$D$29,0)))))))+IF(ライフイベント表!J33="",0,IF(AND(ライフイベント表!J33&gt;=0,ライフイベント表!J33&lt;=5),支出計画!$D$24,IF(AND(ライフイベント表!J33&gt;=6,ライフイベント表!J33&lt;=11),支出計画!$D$25,IF(AND(ライフイベント表!J33&gt;=12,ライフイベント表!J33&lt;=14),支出計画!$D$26,IF(AND(ライフイベント表!J33&gt;=15,ライフイベント表!J33&lt;=17),支出計画!$D$27,IF(ライフイベント表!J33=18,支出計画!$D$28,IF(AND(ライフイベント表!J33&gt;=19,ライフイベント表!J33&lt;=21),支出計画!$D$29,0))))))))*POWER(1.02,B34-1)</f>
        <v>387.13414248483434</v>
      </c>
      <c r="U34" s="186">
        <f>SUMPRODUCT((保険!$G$5:$G$12&lt;=C34)*(保険!$H$5:$H$12&gt;=C34)*保険!$F$5:$F$12)</f>
        <v>7</v>
      </c>
      <c r="V34" s="186">
        <f>支出計画!$C$9</f>
        <v>36</v>
      </c>
      <c r="W34" s="186">
        <f>IF(AND(C34&gt;=支出計画!$D$35,C34&lt;=支出計画!$F$35,MOD(C34-支出計画!$D$35,支出計画!$E$35)=0),支出計画!$C$35,0)+IF(AND(C34&gt;=支出計画!$D$36,C34&lt;=支出計画!$F$36,MOD(C34-支出計画!$D$36,支出計画!$E$36)=0),支出計画!$C$36,0)+IF(C34=支出計画!$D$37,支出計画!$C$37,0)+IF(C34=支出計画!$D$38,支出計画!$C$38,0)</f>
        <v>0</v>
      </c>
      <c r="X34" s="187">
        <f t="shared" si="2"/>
        <v>794.48530545500444</v>
      </c>
      <c r="Y34" s="187">
        <f t="shared" si="3"/>
        <v>55.5936639183235</v>
      </c>
      <c r="Z34" s="187">
        <f>Z33*(1+金融資産!$C$15)+Y34</f>
        <v>-2589.4719705046555</v>
      </c>
      <c r="AA34" s="1"/>
      <c r="AB34" s="1"/>
    </row>
    <row r="35" spans="1:28" ht="15" customHeight="1">
      <c r="A35" s="1"/>
      <c r="B35" s="178">
        <v>31</v>
      </c>
      <c r="C35" s="179">
        <f>基本情報!$C$3+B35-1</f>
        <v>2052</v>
      </c>
      <c r="D35" s="202">
        <f>IF(基本情報!$D$6="","",C35-YEAR(基本情報!$D$6)-IF(OR(MONTH(基本情報!$D$6)&gt;1,DAY(基本情報!$D$6)&gt;1),1,0))</f>
        <v>65</v>
      </c>
      <c r="E35" s="179">
        <f>IF(基本情報!$D$7="","",C35-YEAR(基本情報!$D$7)-IF(OR(MONTH(基本情報!$D$7)&gt;1,DAY(基本情報!$D$7)&gt;1),1,0))</f>
        <v>64</v>
      </c>
      <c r="F35" s="180">
        <f>IF(OR(基本情報!$D$8="",C35&lt;=YEAR(基本情報!$D$8)),"",MAX(0,C35-YEAR(基本情報!$D$8)-IF(OR(MONTH(基本情報!$D$8)&gt;1,DAY(基本情報!$D$8)&gt;1),1,0)))</f>
        <v>33</v>
      </c>
      <c r="G35" s="180">
        <f>IF(OR(基本情報!$D$9="",C35&lt;=YEAR(基本情報!$D$9)),"",MAX(0,C35-YEAR(基本情報!$D$9)-IF(OR(MONTH(基本情報!$D$9)&gt;1,DAY(基本情報!$D$9)&gt;1),1,0)))</f>
        <v>31</v>
      </c>
      <c r="H35" s="180">
        <f>IF(OR(基本情報!$D$10="",C35&lt;=YEAR(基本情報!$D$10)),"",MAX(0,C35-YEAR(基本情報!$D$10)-IF(OR(MONTH(基本情報!$D$10)&gt;1,DAY(基本情報!$D$10)&gt;1),1,0)))</f>
        <v>24</v>
      </c>
      <c r="I35" s="180">
        <f>IF(OR(基本情報!$D$11="",C35&lt;=YEAR(基本情報!$D$11)),"",MAX(0,C35-YEAR(基本情報!$D$11)-IF(OR(MONTH(基本情報!$D$11)&gt;1,DAY(基本情報!$D$11)&gt;1),1,0)))</f>
        <v>22</v>
      </c>
      <c r="J35" s="180">
        <f>IF(OR(基本情報!$D$12="",C35&lt;=YEAR(基本情報!$D$12)),"",MAX(0,C35-YEAR(基本情報!$D$12)-IF(OR(MONTH(基本情報!$D$12)&gt;1,DAY(基本情報!$D$12)&gt;1),1,0)))</f>
        <v>20</v>
      </c>
      <c r="K35" s="199">
        <f>IF(D35="","",IF(D35&lt;基本情報!$C$15,MAX(0,収入計画!$D$5*(1+収入計画!$E$5)^(B35-1)),IF(AND(D35&gt;=基本情報!$C$15,D35&lt;基本情報!$C$20),MAX(0,基本情報!$C$19*(収入計画!$D$5/収入計画!$C$5)),0)))</f>
        <v>237.60000000000002</v>
      </c>
      <c r="L35" s="181">
        <f>IF(E35="","",IF(E35&lt;基本情報!$D$15,IF(E35&lt;MAX(収入計画!$C$11,収入計画!$C$14,収入計画!$C$17,収入計画!$C$20,収入計画!$C$23),MAX(0,収入計画!$D$6*0.5*(1+収入計画!$E$6)^(B35-1)),MAX(0,収入計画!$D$6*(1+収入計画!$E$6)^(B35-1))),IF(AND(E35&gt;=基本情報!$D$15,E35&lt;基本情報!$D$20),MAX(0,基本情報!$D$19*(収入計画!$D$6/収入計画!$C$6)),0)))</f>
        <v>324.83158859523041</v>
      </c>
      <c r="M35" s="181">
        <f>IF(OR(D35="",E35=""),"",IF(D35=基本情報!$C$15,基本情報!$C$16,0)+IF(E35=基本情報!$D$15,基本情報!$D$16,0))</f>
        <v>1500</v>
      </c>
      <c r="N35" s="181">
        <f>IF(D35="","",IF(OR(D35&gt;=基本情報!$C$17,E35&gt;=基本情報!$D$17),MAX(0,IF(D35&gt;=基本情報!$C$17,基本情報!$C$18*12,0)+IF(AND(E35&lt;&gt;"",E35&gt;=基本情報!$D$17),基本情報!$D$18*12,0)),""))</f>
        <v>216</v>
      </c>
      <c r="O35" s="181">
        <f t="shared" si="0"/>
        <v>0</v>
      </c>
      <c r="P35" s="207">
        <f t="shared" si="1"/>
        <v>2278.4315885952306</v>
      </c>
      <c r="Q35" s="181">
        <f>IF(D35&lt;基本情報!$C$17,支出計画!$C$5*(1+支出計画!$D$5)^(B35-1),支出計画!$C$6*(1+支出計画!$D$6)^(D35-基本情報!$C$17))-IF(AND(F35&gt;=22,F35&lt;&gt;""),支出計画!$C$45,0)</f>
        <v>228</v>
      </c>
      <c r="R35" s="181">
        <f>IF(C35&lt;住宅ローン償還表!$C$9,支出計画!$C$7,0)</f>
        <v>0</v>
      </c>
      <c r="S35" s="181">
        <f>IFERROR(VLOOKUP(C35,住宅ローン償還表!$C$17:$H$46,6,FALSE()),0)</f>
        <v>0</v>
      </c>
      <c r="T35" s="199">
        <f>(IF(ライフイベント表!F34="",0,IF(AND(ライフイベント表!F34&gt;=0,ライフイベント表!F34&lt;=5),支出計画!$D$24,IF(AND(ライフイベント表!F34&gt;=6,ライフイベント表!F34&lt;=11),支出計画!$D$25,IF(AND(ライフイベント表!F34&gt;=12,ライフイベント表!F34&lt;=14),支出計画!$D$26,IF(AND(ライフイベント表!F34&gt;=15,ライフイベント表!F34&lt;=17),支出計画!$D$27,IF(ライフイベント表!F34=18,支出計画!$D$28,IF(AND(ライフイベント表!F34&gt;=19,ライフイベント表!F34&lt;=21),支出計画!$D$29,0)))))))+IF(ライフイベント表!G34="",0,IF(AND(ライフイベント表!G34&gt;=0,ライフイベント表!G34&lt;=5),支出計画!$D$24,IF(AND(ライフイベント表!G34&gt;=6,ライフイベント表!G34&lt;=11),支出計画!$D$25,IF(AND(ライフイベント表!G34&gt;=12,ライフイベント表!G34&lt;=14),支出計画!$D$26,IF(AND(ライフイベント表!G34&gt;=15,ライフイベント表!G34&lt;=17),支出計画!$D$27,IF(ライフイベント表!G34=18,支出計画!$D$28,IF(AND(ライフイベント表!G34&gt;=19,ライフイベント表!G34&lt;=21),支出計画!$D$29,0)))))))+IF(ライフイベント表!H34="",0,IF(AND(ライフイベント表!H34&gt;=0,ライフイベント表!H34&lt;=5),支出計画!$D$24,IF(AND(ライフイベント表!H34&gt;=6,ライフイベント表!H34&lt;=11),支出計画!$D$25,IF(AND(ライフイベント表!H34&gt;=12,ライフイベント表!H34&lt;=14),支出計画!$D$26,IF(AND(ライフイベント表!H34&gt;=15,ライフイベント表!H34&lt;=17),支出計画!$D$27,IF(ライフイベント表!H34=18,支出計画!$D$28,IF(AND(ライフイベント表!H34&gt;=19,ライフイベント表!H34&lt;=21),支出計画!$D$29,0)))))))+IF(ライフイベント表!I34="",0,IF(AND(ライフイベント表!I34&gt;=0,ライフイベント表!I34&lt;=5),支出計画!$D$24,IF(AND(ライフイベント表!I34&gt;=6,ライフイベント表!I34&lt;=11),支出計画!$D$25,IF(AND(ライフイベント表!I34&gt;=12,ライフイベント表!I34&lt;=14),支出計画!$D$26,IF(AND(ライフイベント表!I34&gt;=15,ライフイベント表!I34&lt;=17),支出計画!$D$27,IF(ライフイベント表!I34=18,支出計画!$D$28,IF(AND(ライフイベント表!I34&gt;=19,ライフイベント表!I34&lt;=21),支出計画!$D$29,0)))))))+IF(ライフイベント表!J34="",0,IF(AND(ライフイベント表!J34&gt;=0,ライフイベント表!J34&lt;=5),支出計画!$D$24,IF(AND(ライフイベント表!J34&gt;=6,ライフイベント表!J34&lt;=11),支出計画!$D$25,IF(AND(ライフイベント表!J34&gt;=12,ライフイベント表!J34&lt;=14),支出計画!$D$26,IF(AND(ライフイベント表!J34&gt;=15,ライフイベント表!J34&lt;=17),支出計画!$D$27,IF(ライフイベント表!J34=18,支出計画!$D$28,IF(AND(ライフイベント表!J34&gt;=19,ライフイベント表!J34&lt;=21),支出計画!$D$29,0))))))))*POWER(1.02,B35-1)</f>
        <v>197.43841266726554</v>
      </c>
      <c r="U35" s="181">
        <f>SUMPRODUCT((保険!$G$5:$G$12&lt;=C35)*(保険!$H$5:$H$12&gt;=C35)*保険!$F$5:$F$12)</f>
        <v>7</v>
      </c>
      <c r="V35" s="181">
        <f>支出計画!$C$9</f>
        <v>36</v>
      </c>
      <c r="W35" s="181">
        <f>IF(AND(C35&gt;=支出計画!$D$35,C35&lt;=支出計画!$F$35,MOD(C35-支出計画!$D$35,支出計画!$E$35)=0),支出計画!$C$35,0)+IF(AND(C35&gt;=支出計画!$D$36,C35&lt;=支出計画!$F$36,MOD(C35-支出計画!$D$36,支出計画!$E$36)=0),支出計画!$C$36,0)+IF(C35=支出計画!$D$37,支出計画!$C$37,0)+IF(C35=支出計画!$D$38,支出計画!$C$38,0)</f>
        <v>200</v>
      </c>
      <c r="X35" s="182">
        <f t="shared" si="2"/>
        <v>668.43841266726554</v>
      </c>
      <c r="Y35" s="182">
        <f t="shared" si="3"/>
        <v>1609.993175927965</v>
      </c>
      <c r="Z35" s="182">
        <f>Z34*(1+金融資産!$C$15)+Y35</f>
        <v>-992.42615442921328</v>
      </c>
      <c r="AA35" s="1"/>
      <c r="AB35" s="1"/>
    </row>
    <row r="36" spans="1:28" ht="15" customHeight="1">
      <c r="A36" s="1"/>
      <c r="B36" s="167">
        <v>32</v>
      </c>
      <c r="C36" s="168">
        <f>基本情報!$C$3+B36-1</f>
        <v>2053</v>
      </c>
      <c r="D36" s="200">
        <f>IF(基本情報!$D$6="","",C36-YEAR(基本情報!$D$6)-IF(OR(MONTH(基本情報!$D$6)&gt;1,DAY(基本情報!$D$6)&gt;1),1,0))</f>
        <v>66</v>
      </c>
      <c r="E36" s="168">
        <f>IF(基本情報!$D$7="","",C36-YEAR(基本情報!$D$7)-IF(OR(MONTH(基本情報!$D$7)&gt;1,DAY(基本情報!$D$7)&gt;1),1,0))</f>
        <v>65</v>
      </c>
      <c r="F36" s="169">
        <f>IF(OR(基本情報!$D$8="",C36&lt;=YEAR(基本情報!$D$8)),"",MAX(0,C36-YEAR(基本情報!$D$8)-IF(OR(MONTH(基本情報!$D$8)&gt;1,DAY(基本情報!$D$8)&gt;1),1,0)))</f>
        <v>34</v>
      </c>
      <c r="G36" s="169">
        <f>IF(OR(基本情報!$D$9="",C36&lt;=YEAR(基本情報!$D$9)),"",MAX(0,C36-YEAR(基本情報!$D$9)-IF(OR(MONTH(基本情報!$D$9)&gt;1,DAY(基本情報!$D$9)&gt;1),1,0)))</f>
        <v>32</v>
      </c>
      <c r="H36" s="169">
        <f>IF(OR(基本情報!$D$10="",C36&lt;=YEAR(基本情報!$D$10)),"",MAX(0,C36-YEAR(基本情報!$D$10)-IF(OR(MONTH(基本情報!$D$10)&gt;1,DAY(基本情報!$D$10)&gt;1),1,0)))</f>
        <v>25</v>
      </c>
      <c r="I36" s="169">
        <f>IF(OR(基本情報!$D$11="",C36&lt;=YEAR(基本情報!$D$11)),"",MAX(0,C36-YEAR(基本情報!$D$11)-IF(OR(MONTH(基本情報!$D$11)&gt;1,DAY(基本情報!$D$11)&gt;1),1,0)))</f>
        <v>23</v>
      </c>
      <c r="J36" s="169">
        <f>IF(OR(基本情報!$D$12="",C36&lt;=YEAR(基本情報!$D$12)),"",MAX(0,C36-YEAR(基本情報!$D$12)-IF(OR(MONTH(基本情報!$D$12)&gt;1,DAY(基本情報!$D$12)&gt;1),1,0)))</f>
        <v>21</v>
      </c>
      <c r="K36" s="197">
        <f>IF(D36="","",IF(D36&lt;基本情報!$C$15,MAX(0,収入計画!$D$5*(1+収入計画!$E$5)^(B36-1)),IF(AND(D36&gt;=基本情報!$C$15,D36&lt;基本情報!$C$20),MAX(0,基本情報!$C$19*(収入計画!$D$5/収入計画!$C$5)),0)))</f>
        <v>237.60000000000002</v>
      </c>
      <c r="L36" s="170">
        <f>IF(E36="","",IF(E36&lt;基本情報!$D$15,IF(E36&lt;MAX(収入計画!$C$11,収入計画!$C$14,収入計画!$C$17,収入計画!$C$20,収入計画!$C$23),MAX(0,収入計画!$D$6*0.5*(1+収入計画!$E$6)^(B36-1)),MAX(0,収入計画!$D$6*(1+収入計画!$E$6)^(B36-1))),IF(AND(E36&gt;=基本情報!$D$15,E36&lt;基本情報!$D$20),MAX(0,基本情報!$D$19*(収入計画!$D$6/収入計画!$C$6)),0)))</f>
        <v>80.333333333333329</v>
      </c>
      <c r="M36" s="170">
        <f>IF(OR(D36="",E36=""),"",IF(D36=基本情報!$C$15,基本情報!$C$16,0)+IF(E36=基本情報!$D$15,基本情報!$D$16,0))</f>
        <v>0</v>
      </c>
      <c r="N36" s="170">
        <f>IF(D36="","",IF(OR(D36&gt;=基本情報!$C$17,E36&gt;=基本情報!$D$17),MAX(0,IF(D36&gt;=基本情報!$C$17,基本情報!$C$18*12,0)+IF(AND(E36&lt;&gt;"",E36&gt;=基本情報!$D$17),基本情報!$D$18*12,0)),""))</f>
        <v>312</v>
      </c>
      <c r="O36" s="170">
        <f t="shared" si="0"/>
        <v>0</v>
      </c>
      <c r="P36" s="205">
        <f t="shared" si="1"/>
        <v>629.93333333333339</v>
      </c>
      <c r="Q36" s="170">
        <f>IF(D36&lt;基本情報!$C$17,支出計画!$C$5*(1+支出計画!$D$5)^(B36-1),支出計画!$C$6*(1+支出計画!$D$6)^(D36-基本情報!$C$17))-IF(AND(F36&gt;=22,F36&lt;&gt;""),支出計画!$C$45,0)</f>
        <v>226.68</v>
      </c>
      <c r="R36" s="170">
        <f>IF(C36&lt;住宅ローン償還表!$C$9,支出計画!$C$7,0)</f>
        <v>0</v>
      </c>
      <c r="S36" s="170">
        <f>IFERROR(VLOOKUP(C36,住宅ローン償還表!$C$17:$H$46,6,FALSE()),0)</f>
        <v>0</v>
      </c>
      <c r="T36" s="197">
        <f>(IF(ライフイベント表!F35="",0,IF(AND(ライフイベント表!F35&gt;=0,ライフイベント表!F35&lt;=5),支出計画!$D$24,IF(AND(ライフイベント表!F35&gt;=6,ライフイベント表!F35&lt;=11),支出計画!$D$25,IF(AND(ライフイベント表!F35&gt;=12,ライフイベント表!F35&lt;=14),支出計画!$D$26,IF(AND(ライフイベント表!F35&gt;=15,ライフイベント表!F35&lt;=17),支出計画!$D$27,IF(ライフイベント表!F35=18,支出計画!$D$28,IF(AND(ライフイベント表!F35&gt;=19,ライフイベント表!F35&lt;=21),支出計画!$D$29,0)))))))+IF(ライフイベント表!G35="",0,IF(AND(ライフイベント表!G35&gt;=0,ライフイベント表!G35&lt;=5),支出計画!$D$24,IF(AND(ライフイベント表!G35&gt;=6,ライフイベント表!G35&lt;=11),支出計画!$D$25,IF(AND(ライフイベント表!G35&gt;=12,ライフイベント表!G35&lt;=14),支出計画!$D$26,IF(AND(ライフイベント表!G35&gt;=15,ライフイベント表!G35&lt;=17),支出計画!$D$27,IF(ライフイベント表!G35=18,支出計画!$D$28,IF(AND(ライフイベント表!G35&gt;=19,ライフイベント表!G35&lt;=21),支出計画!$D$29,0)))))))+IF(ライフイベント表!H35="",0,IF(AND(ライフイベント表!H35&gt;=0,ライフイベント表!H35&lt;=5),支出計画!$D$24,IF(AND(ライフイベント表!H35&gt;=6,ライフイベント表!H35&lt;=11),支出計画!$D$25,IF(AND(ライフイベント表!H35&gt;=12,ライフイベント表!H35&lt;=14),支出計画!$D$26,IF(AND(ライフイベント表!H35&gt;=15,ライフイベント表!H35&lt;=17),支出計画!$D$27,IF(ライフイベント表!H35=18,支出計画!$D$28,IF(AND(ライフイベント表!H35&gt;=19,ライフイベント表!H35&lt;=21),支出計画!$D$29,0)))))))+IF(ライフイベント表!I35="",0,IF(AND(ライフイベント表!I35&gt;=0,ライフイベント表!I35&lt;=5),支出計画!$D$24,IF(AND(ライフイベント表!I35&gt;=6,ライフイベント表!I35&lt;=11),支出計画!$D$25,IF(AND(ライフイベント表!I35&gt;=12,ライフイベント表!I35&lt;=14),支出計画!$D$26,IF(AND(ライフイベント表!I35&gt;=15,ライフイベント表!I35&lt;=17),支出計画!$D$27,IF(ライフイベント表!I35=18,支出計画!$D$28,IF(AND(ライフイベント表!I35&gt;=19,ライフイベント表!I35&lt;=21),支出計画!$D$29,0)))))))+IF(ライフイベント表!J35="",0,IF(AND(ライフイベント表!J35&gt;=0,ライフイベント表!J35&lt;=5),支出計画!$D$24,IF(AND(ライフイベント表!J35&gt;=6,ライフイベント表!J35&lt;=11),支出計画!$D$25,IF(AND(ライフイベント表!J35&gt;=12,ライフイベント表!J35&lt;=14),支出計画!$D$26,IF(AND(ライフイベント表!J35&gt;=15,ライフイベント表!J35&lt;=17),支出計画!$D$27,IF(ライフイベント表!J35=18,支出計画!$D$28,IF(AND(ライフイベント表!J35&gt;=19,ライフイベント表!J35&lt;=21),支出計画!$D$29,0))))))))*POWER(1.02,B36-1)</f>
        <v>201.3871809206108</v>
      </c>
      <c r="U36" s="170">
        <f>SUMPRODUCT((保険!$G$5:$G$12&lt;=C36)*(保険!$H$5:$H$12&gt;=C36)*保険!$F$5:$F$12)</f>
        <v>7</v>
      </c>
      <c r="V36" s="170">
        <f>支出計画!$C$9</f>
        <v>36</v>
      </c>
      <c r="W36" s="170">
        <f>IF(AND(C36&gt;=支出計画!$D$35,C36&lt;=支出計画!$F$35,MOD(C36-支出計画!$D$35,支出計画!$E$35)=0),支出計画!$C$35,0)+IF(AND(C36&gt;=支出計画!$D$36,C36&lt;=支出計画!$F$36,MOD(C36-支出計画!$D$36,支出計画!$E$36)=0),支出計画!$C$36,0)+IF(C36=支出計画!$D$37,支出計画!$C$37,0)+IF(C36=支出計画!$D$38,支出計画!$C$38,0)</f>
        <v>0</v>
      </c>
      <c r="X36" s="172">
        <f t="shared" si="2"/>
        <v>471.06718092061078</v>
      </c>
      <c r="Y36" s="172">
        <f t="shared" si="3"/>
        <v>158.86615241272261</v>
      </c>
      <c r="Z36" s="172">
        <f>Z35*(1+金融資産!$C$15)+Y36</f>
        <v>-838.52213278863667</v>
      </c>
      <c r="AA36" s="1"/>
      <c r="AB36" s="1"/>
    </row>
    <row r="37" spans="1:28" ht="15" customHeight="1">
      <c r="A37" s="1"/>
      <c r="B37" s="167">
        <v>33</v>
      </c>
      <c r="C37" s="168">
        <f>基本情報!$C$3+B37-1</f>
        <v>2054</v>
      </c>
      <c r="D37" s="200">
        <f>IF(基本情報!$D$6="","",C37-YEAR(基本情報!$D$6)-IF(OR(MONTH(基本情報!$D$6)&gt;1,DAY(基本情報!$D$6)&gt;1),1,0))</f>
        <v>67</v>
      </c>
      <c r="E37" s="168">
        <f>IF(基本情報!$D$7="","",C37-YEAR(基本情報!$D$7)-IF(OR(MONTH(基本情報!$D$7)&gt;1,DAY(基本情報!$D$7)&gt;1),1,0))</f>
        <v>66</v>
      </c>
      <c r="F37" s="169">
        <f>IF(OR(基本情報!$D$8="",C37&lt;=YEAR(基本情報!$D$8)),"",MAX(0,C37-YEAR(基本情報!$D$8)-IF(OR(MONTH(基本情報!$D$8)&gt;1,DAY(基本情報!$D$8)&gt;1),1,0)))</f>
        <v>35</v>
      </c>
      <c r="G37" s="169">
        <f>IF(OR(基本情報!$D$9="",C37&lt;=YEAR(基本情報!$D$9)),"",MAX(0,C37-YEAR(基本情報!$D$9)-IF(OR(MONTH(基本情報!$D$9)&gt;1,DAY(基本情報!$D$9)&gt;1),1,0)))</f>
        <v>33</v>
      </c>
      <c r="H37" s="169">
        <f>IF(OR(基本情報!$D$10="",C37&lt;=YEAR(基本情報!$D$10)),"",MAX(0,C37-YEAR(基本情報!$D$10)-IF(OR(MONTH(基本情報!$D$10)&gt;1,DAY(基本情報!$D$10)&gt;1),1,0)))</f>
        <v>26</v>
      </c>
      <c r="I37" s="169">
        <f>IF(OR(基本情報!$D$11="",C37&lt;=YEAR(基本情報!$D$11)),"",MAX(0,C37-YEAR(基本情報!$D$11)-IF(OR(MONTH(基本情報!$D$11)&gt;1,DAY(基本情報!$D$11)&gt;1),1,0)))</f>
        <v>24</v>
      </c>
      <c r="J37" s="169">
        <f>IF(OR(基本情報!$D$12="",C37&lt;=YEAR(基本情報!$D$12)),"",MAX(0,C37-YEAR(基本情報!$D$12)-IF(OR(MONTH(基本情報!$D$12)&gt;1,DAY(基本情報!$D$12)&gt;1),1,0)))</f>
        <v>22</v>
      </c>
      <c r="K37" s="197">
        <f>IF(D37="","",IF(D37&lt;基本情報!$C$15,MAX(0,収入計画!$D$5*(1+収入計画!$E$5)^(B37-1)),IF(AND(D37&gt;=基本情報!$C$15,D37&lt;基本情報!$C$20),MAX(0,基本情報!$C$19*(収入計画!$D$5/収入計画!$C$5)),0)))</f>
        <v>237.60000000000002</v>
      </c>
      <c r="L37" s="170">
        <f>IF(E37="","",IF(E37&lt;基本情報!$D$15,IF(E37&lt;MAX(収入計画!$C$11,収入計画!$C$14,収入計画!$C$17,収入計画!$C$20,収入計画!$C$23),MAX(0,収入計画!$D$6*0.5*(1+収入計画!$E$6)^(B37-1)),MAX(0,収入計画!$D$6*(1+収入計画!$E$6)^(B37-1))),IF(AND(E37&gt;=基本情報!$D$15,E37&lt;基本情報!$D$20),MAX(0,基本情報!$D$19*(収入計画!$D$6/収入計画!$C$6)),0)))</f>
        <v>80.333333333333329</v>
      </c>
      <c r="M37" s="170">
        <f>IF(OR(D37="",E37=""),"",IF(D37=基本情報!$C$15,基本情報!$C$16,0)+IF(E37=基本情報!$D$15,基本情報!$D$16,0))</f>
        <v>0</v>
      </c>
      <c r="N37" s="170">
        <f>IF(D37="","",IF(OR(D37&gt;=基本情報!$C$17,E37&gt;=基本情報!$D$17),MAX(0,IF(D37&gt;=基本情報!$C$17,基本情報!$C$18*12,0)+IF(AND(E37&lt;&gt;"",E37&gt;=基本情報!$D$17),基本情報!$D$18*12,0)),""))</f>
        <v>312</v>
      </c>
      <c r="O37" s="170">
        <f t="shared" ref="O37:O70" si="4">IF(F37="",0,IF(AND(F37&gt;=0,F37&lt;=15),12,0)+IF(F37=17,100,0))+IF(G37="",0,IF(AND(G37&gt;=0,G37&lt;=15),12,0)+IF(G37=17,100,0))+IF(H37="",0,IF(AND(H37&gt;=0,H37&lt;=15),12,0)+IF(H37=17,100,0))+IF(I37="",0,IF(AND(I37&gt;=0,I37&lt;=15),12,0)+IF(I37=17,100,0))+IF(J37="",0,IF(AND(J37&gt;=0,J37&lt;=15),12,0)+IF(J37=17,100,0))+IF(B37=1,500,0)</f>
        <v>0</v>
      </c>
      <c r="P37" s="205">
        <f t="shared" ref="P37:P68" si="5">SUM(K37:O37)</f>
        <v>629.93333333333339</v>
      </c>
      <c r="Q37" s="171">
        <f>IF(D37&lt;基本情報!$C$17,支出計画!$C$5*(1+支出計画!$D$5)^(B37-1),支出計画!$C$6*(1+支出計画!$D$6)^(D37-基本情報!$C$17))-IF(AND(F37&gt;=22,F37&lt;&gt;""),支出計画!$C$45,0)</f>
        <v>225.36660000000001</v>
      </c>
      <c r="R37" s="170">
        <f>IF(C37&lt;住宅ローン償還表!$C$9,支出計画!$C$7,0)</f>
        <v>0</v>
      </c>
      <c r="S37" s="170">
        <f>IFERROR(VLOOKUP(C37,住宅ローン償還表!$C$17:$H$46,6,FALSE()),0)</f>
        <v>0</v>
      </c>
      <c r="T37" s="197">
        <f>(IF(ライフイベント表!F36="",0,IF(AND(ライフイベント表!F36&gt;=0,ライフイベント表!F36&lt;=5),支出計画!$D$24,IF(AND(ライフイベント表!F36&gt;=6,ライフイベント表!F36&lt;=11),支出計画!$D$25,IF(AND(ライフイベント表!F36&gt;=12,ライフイベント表!F36&lt;=14),支出計画!$D$26,IF(AND(ライフイベント表!F36&gt;=15,ライフイベント表!F36&lt;=17),支出計画!$D$27,IF(ライフイベント表!F36=18,支出計画!$D$28,IF(AND(ライフイベント表!F36&gt;=19,ライフイベント表!F36&lt;=21),支出計画!$D$29,0)))))))+IF(ライフイベント表!G36="",0,IF(AND(ライフイベント表!G36&gt;=0,ライフイベント表!G36&lt;=5),支出計画!$D$24,IF(AND(ライフイベント表!G36&gt;=6,ライフイベント表!G36&lt;=11),支出計画!$D$25,IF(AND(ライフイベント表!G36&gt;=12,ライフイベント表!G36&lt;=14),支出計画!$D$26,IF(AND(ライフイベント表!G36&gt;=15,ライフイベント表!G36&lt;=17),支出計画!$D$27,IF(ライフイベント表!G36=18,支出計画!$D$28,IF(AND(ライフイベント表!G36&gt;=19,ライフイベント表!G36&lt;=21),支出計画!$D$29,0)))))))+IF(ライフイベント表!H36="",0,IF(AND(ライフイベント表!H36&gt;=0,ライフイベント表!H36&lt;=5),支出計画!$D$24,IF(AND(ライフイベント表!H36&gt;=6,ライフイベント表!H36&lt;=11),支出計画!$D$25,IF(AND(ライフイベント表!H36&gt;=12,ライフイベント表!H36&lt;=14),支出計画!$D$26,IF(AND(ライフイベント表!H36&gt;=15,ライフイベント表!H36&lt;=17),支出計画!$D$27,IF(ライフイベント表!H36=18,支出計画!$D$28,IF(AND(ライフイベント表!H36&gt;=19,ライフイベント表!H36&lt;=21),支出計画!$D$29,0)))))))+IF(ライフイベント表!I36="",0,IF(AND(ライフイベント表!I36&gt;=0,ライフイベント表!I36&lt;=5),支出計画!$D$24,IF(AND(ライフイベント表!I36&gt;=6,ライフイベント表!I36&lt;=11),支出計画!$D$25,IF(AND(ライフイベント表!I36&gt;=12,ライフイベント表!I36&lt;=14),支出計画!$D$26,IF(AND(ライフイベント表!I36&gt;=15,ライフイベント表!I36&lt;=17),支出計画!$D$27,IF(ライフイベント表!I36=18,支出計画!$D$28,IF(AND(ライフイベント表!I36&gt;=19,ライフイベント表!I36&lt;=21),支出計画!$D$29,0)))))))+IF(ライフイベント表!J36="",0,IF(AND(ライフイベント表!J36&gt;=0,ライフイベント表!J36&lt;=5),支出計画!$D$24,IF(AND(ライフイベント表!J36&gt;=6,ライフイベント表!J36&lt;=11),支出計画!$D$25,IF(AND(ライフイベント表!J36&gt;=12,ライフイベント表!J36&lt;=14),支出計画!$D$26,IF(AND(ライフイベント表!J36&gt;=15,ライフイベント表!J36&lt;=17),支出計画!$D$27,IF(ライフイベント表!J36=18,支出計画!$D$28,IF(AND(ライフイベント表!J36&gt;=19,ライフイベント表!J36&lt;=21),支出計画!$D$29,0))))))))*POWER(1.02,B37-1)</f>
        <v>0</v>
      </c>
      <c r="U37" s="170">
        <f>SUMPRODUCT((保険!$G$5:$G$12&lt;=C37)*(保険!$H$5:$H$12&gt;=C37)*保険!$F$5:$F$12)</f>
        <v>7</v>
      </c>
      <c r="V37" s="170">
        <f>支出計画!$C$9</f>
        <v>36</v>
      </c>
      <c r="W37" s="170">
        <f>IF(AND(C37&gt;=支出計画!$D$35,C37&lt;=支出計画!$F$35,MOD(C37-支出計画!$D$35,支出計画!$E$35)=0),支出計画!$C$35,0)+IF(AND(C37&gt;=支出計画!$D$36,C37&lt;=支出計画!$F$36,MOD(C37-支出計画!$D$36,支出計画!$E$36)=0),支出計画!$C$36,0)+IF(C37=支出計画!$D$37,支出計画!$C$37,0)+IF(C37=支出計画!$D$38,支出計画!$C$38,0)</f>
        <v>0</v>
      </c>
      <c r="X37" s="172">
        <f t="shared" ref="X37:X68" si="6">SUM(Q37:W37)</f>
        <v>268.36660000000001</v>
      </c>
      <c r="Y37" s="172">
        <f t="shared" ref="Y37:Y68" si="7">P37-X37</f>
        <v>361.56673333333339</v>
      </c>
      <c r="Z37" s="172">
        <f>Z36*(1+金融資産!$C$15)+Y37</f>
        <v>-481.14801011924641</v>
      </c>
      <c r="AA37" s="1"/>
      <c r="AB37" s="1"/>
    </row>
    <row r="38" spans="1:28" ht="15" customHeight="1">
      <c r="A38" s="1"/>
      <c r="B38" s="167">
        <v>34</v>
      </c>
      <c r="C38" s="168">
        <f>基本情報!$C$3+B38-1</f>
        <v>2055</v>
      </c>
      <c r="D38" s="200">
        <f>IF(基本情報!$D$6="","",C38-YEAR(基本情報!$D$6)-IF(OR(MONTH(基本情報!$D$6)&gt;1,DAY(基本情報!$D$6)&gt;1),1,0))</f>
        <v>68</v>
      </c>
      <c r="E38" s="168">
        <f>IF(基本情報!$D$7="","",C38-YEAR(基本情報!$D$7)-IF(OR(MONTH(基本情報!$D$7)&gt;1,DAY(基本情報!$D$7)&gt;1),1,0))</f>
        <v>67</v>
      </c>
      <c r="F38" s="169">
        <f>IF(OR(基本情報!$D$8="",C38&lt;=YEAR(基本情報!$D$8)),"",MAX(0,C38-YEAR(基本情報!$D$8)-IF(OR(MONTH(基本情報!$D$8)&gt;1,DAY(基本情報!$D$8)&gt;1),1,0)))</f>
        <v>36</v>
      </c>
      <c r="G38" s="169">
        <f>IF(OR(基本情報!$D$9="",C38&lt;=YEAR(基本情報!$D$9)),"",MAX(0,C38-YEAR(基本情報!$D$9)-IF(OR(MONTH(基本情報!$D$9)&gt;1,DAY(基本情報!$D$9)&gt;1),1,0)))</f>
        <v>34</v>
      </c>
      <c r="H38" s="169">
        <f>IF(OR(基本情報!$D$10="",C38&lt;=YEAR(基本情報!$D$10)),"",MAX(0,C38-YEAR(基本情報!$D$10)-IF(OR(MONTH(基本情報!$D$10)&gt;1,DAY(基本情報!$D$10)&gt;1),1,0)))</f>
        <v>27</v>
      </c>
      <c r="I38" s="169">
        <f>IF(OR(基本情報!$D$11="",C38&lt;=YEAR(基本情報!$D$11)),"",MAX(0,C38-YEAR(基本情報!$D$11)-IF(OR(MONTH(基本情報!$D$11)&gt;1,DAY(基本情報!$D$11)&gt;1),1,0)))</f>
        <v>25</v>
      </c>
      <c r="J38" s="169">
        <f>IF(OR(基本情報!$D$12="",C38&lt;=YEAR(基本情報!$D$12)),"",MAX(0,C38-YEAR(基本情報!$D$12)-IF(OR(MONTH(基本情報!$D$12)&gt;1,DAY(基本情報!$D$12)&gt;1),1,0)))</f>
        <v>23</v>
      </c>
      <c r="K38" s="197">
        <f>IF(D38="","",IF(D38&lt;基本情報!$C$15,MAX(0,収入計画!$D$5*(1+収入計画!$E$5)^(B38-1)),IF(AND(D38&gt;=基本情報!$C$15,D38&lt;基本情報!$C$20),MAX(0,基本情報!$C$19*(収入計画!$D$5/収入計画!$C$5)),0)))</f>
        <v>237.60000000000002</v>
      </c>
      <c r="L38" s="170">
        <f>IF(E38="","",IF(E38&lt;基本情報!$D$15,IF(E38&lt;MAX(収入計画!$C$11,収入計画!$C$14,収入計画!$C$17,収入計画!$C$20,収入計画!$C$23),MAX(0,収入計画!$D$6*0.5*(1+収入計画!$E$6)^(B38-1)),MAX(0,収入計画!$D$6*(1+収入計画!$E$6)^(B38-1))),IF(AND(E38&gt;=基本情報!$D$15,E38&lt;基本情報!$D$20),MAX(0,基本情報!$D$19*(収入計画!$D$6/収入計画!$C$6)),0)))</f>
        <v>80.333333333333329</v>
      </c>
      <c r="M38" s="170">
        <f>IF(OR(D38="",E38=""),"",IF(D38=基本情報!$C$15,基本情報!$C$16,0)+IF(E38=基本情報!$D$15,基本情報!$D$16,0))</f>
        <v>0</v>
      </c>
      <c r="N38" s="170">
        <f>IF(D38="","",IF(OR(D38&gt;=基本情報!$C$17,E38&gt;=基本情報!$D$17),MAX(0,IF(D38&gt;=基本情報!$C$17,基本情報!$C$18*12,0)+IF(AND(E38&lt;&gt;"",E38&gt;=基本情報!$D$17),基本情報!$D$18*12,0)),""))</f>
        <v>312</v>
      </c>
      <c r="O38" s="170">
        <f t="shared" si="4"/>
        <v>0</v>
      </c>
      <c r="P38" s="205">
        <f t="shared" si="5"/>
        <v>629.93333333333339</v>
      </c>
      <c r="Q38" s="171">
        <f>IF(D38&lt;基本情報!$C$17,支出計画!$C$5*(1+支出計画!$D$5)^(B38-1),支出計画!$C$6*(1+支出計画!$D$6)^(D38-基本情報!$C$17))-IF(AND(F38&gt;=22,F38&lt;&gt;""),支出計画!$C$45,0)</f>
        <v>224.05976700000002</v>
      </c>
      <c r="R38" s="170">
        <f>IF(C38&lt;住宅ローン償還表!$C$9,支出計画!$C$7,0)</f>
        <v>0</v>
      </c>
      <c r="S38" s="170">
        <f>IFERROR(VLOOKUP(C38,住宅ローン償還表!$C$17:$H$46,6,FALSE()),0)</f>
        <v>0</v>
      </c>
      <c r="T38" s="197">
        <f>(IF(ライフイベント表!F37="",0,IF(AND(ライフイベント表!F37&gt;=0,ライフイベント表!F37&lt;=5),支出計画!$D$24,IF(AND(ライフイベント表!F37&gt;=6,ライフイベント表!F37&lt;=11),支出計画!$D$25,IF(AND(ライフイベント表!F37&gt;=12,ライフイベント表!F37&lt;=14),支出計画!$D$26,IF(AND(ライフイベント表!F37&gt;=15,ライフイベント表!F37&lt;=17),支出計画!$D$27,IF(ライフイベント表!F37=18,支出計画!$D$28,IF(AND(ライフイベント表!F37&gt;=19,ライフイベント表!F37&lt;=21),支出計画!$D$29,0)))))))+IF(ライフイベント表!G37="",0,IF(AND(ライフイベント表!G37&gt;=0,ライフイベント表!G37&lt;=5),支出計画!$D$24,IF(AND(ライフイベント表!G37&gt;=6,ライフイベント表!G37&lt;=11),支出計画!$D$25,IF(AND(ライフイベント表!G37&gt;=12,ライフイベント表!G37&lt;=14),支出計画!$D$26,IF(AND(ライフイベント表!G37&gt;=15,ライフイベント表!G37&lt;=17),支出計画!$D$27,IF(ライフイベント表!G37=18,支出計画!$D$28,IF(AND(ライフイベント表!G37&gt;=19,ライフイベント表!G37&lt;=21),支出計画!$D$29,0)))))))+IF(ライフイベント表!H37="",0,IF(AND(ライフイベント表!H37&gt;=0,ライフイベント表!H37&lt;=5),支出計画!$D$24,IF(AND(ライフイベント表!H37&gt;=6,ライフイベント表!H37&lt;=11),支出計画!$D$25,IF(AND(ライフイベント表!H37&gt;=12,ライフイベント表!H37&lt;=14),支出計画!$D$26,IF(AND(ライフイベント表!H37&gt;=15,ライフイベント表!H37&lt;=17),支出計画!$D$27,IF(ライフイベント表!H37=18,支出計画!$D$28,IF(AND(ライフイベント表!H37&gt;=19,ライフイベント表!H37&lt;=21),支出計画!$D$29,0)))))))+IF(ライフイベント表!I37="",0,IF(AND(ライフイベント表!I37&gt;=0,ライフイベント表!I37&lt;=5),支出計画!$D$24,IF(AND(ライフイベント表!I37&gt;=6,ライフイベント表!I37&lt;=11),支出計画!$D$25,IF(AND(ライフイベント表!I37&gt;=12,ライフイベント表!I37&lt;=14),支出計画!$D$26,IF(AND(ライフイベント表!I37&gt;=15,ライフイベント表!I37&lt;=17),支出計画!$D$27,IF(ライフイベント表!I37=18,支出計画!$D$28,IF(AND(ライフイベント表!I37&gt;=19,ライフイベント表!I37&lt;=21),支出計画!$D$29,0)))))))+IF(ライフイベント表!J37="",0,IF(AND(ライフイベント表!J37&gt;=0,ライフイベント表!J37&lt;=5),支出計画!$D$24,IF(AND(ライフイベント表!J37&gt;=6,ライフイベント表!J37&lt;=11),支出計画!$D$25,IF(AND(ライフイベント表!J37&gt;=12,ライフイベント表!J37&lt;=14),支出計画!$D$26,IF(AND(ライフイベント表!J37&gt;=15,ライフイベント表!J37&lt;=17),支出計画!$D$27,IF(ライフイベント表!J37=18,支出計画!$D$28,IF(AND(ライフイベント表!J37&gt;=19,ライフイベント表!J37&lt;=21),支出計画!$D$29,0))))))))*POWER(1.02,B38-1)</f>
        <v>0</v>
      </c>
      <c r="U38" s="170">
        <f>SUMPRODUCT((保険!$G$5:$G$12&lt;=C38)*(保険!$H$5:$H$12&gt;=C38)*保険!$F$5:$F$12)</f>
        <v>7</v>
      </c>
      <c r="V38" s="170">
        <f>支出計画!$C$9</f>
        <v>36</v>
      </c>
      <c r="W38" s="170">
        <f>IF(AND(C38&gt;=支出計画!$D$35,C38&lt;=支出計画!$F$35,MOD(C38-支出計画!$D$35,支出計画!$E$35)=0),支出計画!$C$35,0)+IF(AND(C38&gt;=支出計画!$D$36,C38&lt;=支出計画!$F$36,MOD(C38-支出計画!$D$36,支出計画!$E$36)=0),支出計画!$C$36,0)+IF(C38=支出計画!$D$37,支出計画!$C$37,0)+IF(C38=支出計画!$D$38,支出計画!$C$38,0)</f>
        <v>0</v>
      </c>
      <c r="X38" s="172">
        <f t="shared" si="6"/>
        <v>267.05976700000002</v>
      </c>
      <c r="Y38" s="172">
        <f t="shared" si="7"/>
        <v>362.87356633333337</v>
      </c>
      <c r="Z38" s="172">
        <f>Z37*(1+金融資産!$C$15)+Y38</f>
        <v>-120.68018383650923</v>
      </c>
      <c r="AA38" s="1"/>
      <c r="AB38" s="1"/>
    </row>
    <row r="39" spans="1:28" ht="15" customHeight="1">
      <c r="A39" s="1"/>
      <c r="B39" s="167">
        <v>35</v>
      </c>
      <c r="C39" s="168">
        <f>基本情報!$C$3+B39-1</f>
        <v>2056</v>
      </c>
      <c r="D39" s="200">
        <f>IF(基本情報!$D$6="","",C39-YEAR(基本情報!$D$6)-IF(OR(MONTH(基本情報!$D$6)&gt;1,DAY(基本情報!$D$6)&gt;1),1,0))</f>
        <v>69</v>
      </c>
      <c r="E39" s="168">
        <f>IF(基本情報!$D$7="","",C39-YEAR(基本情報!$D$7)-IF(OR(MONTH(基本情報!$D$7)&gt;1,DAY(基本情報!$D$7)&gt;1),1,0))</f>
        <v>68</v>
      </c>
      <c r="F39" s="169">
        <f>IF(OR(基本情報!$D$8="",C39&lt;=YEAR(基本情報!$D$8)),"",MAX(0,C39-YEAR(基本情報!$D$8)-IF(OR(MONTH(基本情報!$D$8)&gt;1,DAY(基本情報!$D$8)&gt;1),1,0)))</f>
        <v>37</v>
      </c>
      <c r="G39" s="169">
        <f>IF(OR(基本情報!$D$9="",C39&lt;=YEAR(基本情報!$D$9)),"",MAX(0,C39-YEAR(基本情報!$D$9)-IF(OR(MONTH(基本情報!$D$9)&gt;1,DAY(基本情報!$D$9)&gt;1),1,0)))</f>
        <v>35</v>
      </c>
      <c r="H39" s="169">
        <f>IF(OR(基本情報!$D$10="",C39&lt;=YEAR(基本情報!$D$10)),"",MAX(0,C39-YEAR(基本情報!$D$10)-IF(OR(MONTH(基本情報!$D$10)&gt;1,DAY(基本情報!$D$10)&gt;1),1,0)))</f>
        <v>28</v>
      </c>
      <c r="I39" s="169">
        <f>IF(OR(基本情報!$D$11="",C39&lt;=YEAR(基本情報!$D$11)),"",MAX(0,C39-YEAR(基本情報!$D$11)-IF(OR(MONTH(基本情報!$D$11)&gt;1,DAY(基本情報!$D$11)&gt;1),1,0)))</f>
        <v>26</v>
      </c>
      <c r="J39" s="169">
        <f>IF(OR(基本情報!$D$12="",C39&lt;=YEAR(基本情報!$D$12)),"",MAX(0,C39-YEAR(基本情報!$D$12)-IF(OR(MONTH(基本情報!$D$12)&gt;1,DAY(基本情報!$D$12)&gt;1),1,0)))</f>
        <v>24</v>
      </c>
      <c r="K39" s="197">
        <f>IF(D39="","",IF(D39&lt;基本情報!$C$15,MAX(0,収入計画!$D$5*(1+収入計画!$E$5)^(B39-1)),IF(AND(D39&gt;=基本情報!$C$15,D39&lt;基本情報!$C$20),MAX(0,基本情報!$C$19*(収入計画!$D$5/収入計画!$C$5)),0)))</f>
        <v>237.60000000000002</v>
      </c>
      <c r="L39" s="170">
        <f>IF(E39="","",IF(E39&lt;基本情報!$D$15,IF(E39&lt;MAX(収入計画!$C$11,収入計画!$C$14,収入計画!$C$17,収入計画!$C$20,収入計画!$C$23),MAX(0,収入計画!$D$6*0.5*(1+収入計画!$E$6)^(B39-1)),MAX(0,収入計画!$D$6*(1+収入計画!$E$6)^(B39-1))),IF(AND(E39&gt;=基本情報!$D$15,E39&lt;基本情報!$D$20),MAX(0,基本情報!$D$19*(収入計画!$D$6/収入計画!$C$6)),0)))</f>
        <v>80.333333333333329</v>
      </c>
      <c r="M39" s="170">
        <f>IF(OR(D39="",E39=""),"",IF(D39=基本情報!$C$15,基本情報!$C$16,0)+IF(E39=基本情報!$D$15,基本情報!$D$16,0))</f>
        <v>0</v>
      </c>
      <c r="N39" s="170">
        <f>IF(D39="","",IF(OR(D39&gt;=基本情報!$C$17,E39&gt;=基本情報!$D$17),MAX(0,IF(D39&gt;=基本情報!$C$17,基本情報!$C$18*12,0)+IF(AND(E39&lt;&gt;"",E39&gt;=基本情報!$D$17),基本情報!$D$18*12,0)),""))</f>
        <v>312</v>
      </c>
      <c r="O39" s="170">
        <f t="shared" si="4"/>
        <v>0</v>
      </c>
      <c r="P39" s="205">
        <f t="shared" si="5"/>
        <v>629.93333333333339</v>
      </c>
      <c r="Q39" s="171">
        <f>IF(D39&lt;基本情報!$C$17,支出計画!$C$5*(1+支出計画!$D$5)^(B39-1),支出計画!$C$6*(1+支出計画!$D$6)^(D39-基本情報!$C$17))-IF(AND(F39&gt;=22,F39&lt;&gt;""),支出計画!$C$45,0)</f>
        <v>222.75946816500004</v>
      </c>
      <c r="R39" s="170">
        <f>IF(C39&lt;住宅ローン償還表!$C$9,支出計画!$C$7,0)</f>
        <v>0</v>
      </c>
      <c r="S39" s="170">
        <f>IFERROR(VLOOKUP(C39,住宅ローン償還表!$C$17:$H$46,6,FALSE()),0)</f>
        <v>0</v>
      </c>
      <c r="T39" s="197">
        <f>(IF(ライフイベント表!F38="",0,IF(AND(ライフイベント表!F38&gt;=0,ライフイベント表!F38&lt;=5),支出計画!$D$24,IF(AND(ライフイベント表!F38&gt;=6,ライフイベント表!F38&lt;=11),支出計画!$D$25,IF(AND(ライフイベント表!F38&gt;=12,ライフイベント表!F38&lt;=14),支出計画!$D$26,IF(AND(ライフイベント表!F38&gt;=15,ライフイベント表!F38&lt;=17),支出計画!$D$27,IF(ライフイベント表!F38=18,支出計画!$D$28,IF(AND(ライフイベント表!F38&gt;=19,ライフイベント表!F38&lt;=21),支出計画!$D$29,0)))))))+IF(ライフイベント表!G38="",0,IF(AND(ライフイベント表!G38&gt;=0,ライフイベント表!G38&lt;=5),支出計画!$D$24,IF(AND(ライフイベント表!G38&gt;=6,ライフイベント表!G38&lt;=11),支出計画!$D$25,IF(AND(ライフイベント表!G38&gt;=12,ライフイベント表!G38&lt;=14),支出計画!$D$26,IF(AND(ライフイベント表!G38&gt;=15,ライフイベント表!G38&lt;=17),支出計画!$D$27,IF(ライフイベント表!G38=18,支出計画!$D$28,IF(AND(ライフイベント表!G38&gt;=19,ライフイベント表!G38&lt;=21),支出計画!$D$29,0)))))))+IF(ライフイベント表!H38="",0,IF(AND(ライフイベント表!H38&gt;=0,ライフイベント表!H38&lt;=5),支出計画!$D$24,IF(AND(ライフイベント表!H38&gt;=6,ライフイベント表!H38&lt;=11),支出計画!$D$25,IF(AND(ライフイベント表!H38&gt;=12,ライフイベント表!H38&lt;=14),支出計画!$D$26,IF(AND(ライフイベント表!H38&gt;=15,ライフイベント表!H38&lt;=17),支出計画!$D$27,IF(ライフイベント表!H38=18,支出計画!$D$28,IF(AND(ライフイベント表!H38&gt;=19,ライフイベント表!H38&lt;=21),支出計画!$D$29,0)))))))+IF(ライフイベント表!I38="",0,IF(AND(ライフイベント表!I38&gt;=0,ライフイベント表!I38&lt;=5),支出計画!$D$24,IF(AND(ライフイベント表!I38&gt;=6,ライフイベント表!I38&lt;=11),支出計画!$D$25,IF(AND(ライフイベント表!I38&gt;=12,ライフイベント表!I38&lt;=14),支出計画!$D$26,IF(AND(ライフイベント表!I38&gt;=15,ライフイベント表!I38&lt;=17),支出計画!$D$27,IF(ライフイベント表!I38=18,支出計画!$D$28,IF(AND(ライフイベント表!I38&gt;=19,ライフイベント表!I38&lt;=21),支出計画!$D$29,0)))))))+IF(ライフイベント表!J38="",0,IF(AND(ライフイベント表!J38&gt;=0,ライフイベント表!J38&lt;=5),支出計画!$D$24,IF(AND(ライフイベント表!J38&gt;=6,ライフイベント表!J38&lt;=11),支出計画!$D$25,IF(AND(ライフイベント表!J38&gt;=12,ライフイベント表!J38&lt;=14),支出計画!$D$26,IF(AND(ライフイベント表!J38&gt;=15,ライフイベント表!J38&lt;=17),支出計画!$D$27,IF(ライフイベント表!J38=18,支出計画!$D$28,IF(AND(ライフイベント表!J38&gt;=19,ライフイベント表!J38&lt;=21),支出計画!$D$29,0))))))))*POWER(1.02,B39-1)</f>
        <v>0</v>
      </c>
      <c r="U39" s="170">
        <f>SUMPRODUCT((保険!$G$5:$G$12&lt;=C39)*(保険!$H$5:$H$12&gt;=C39)*保険!$F$5:$F$12)</f>
        <v>7</v>
      </c>
      <c r="V39" s="170">
        <f>支出計画!$C$9</f>
        <v>36</v>
      </c>
      <c r="W39" s="170">
        <f>IF(AND(C39&gt;=支出計画!$D$35,C39&lt;=支出計画!$F$35,MOD(C39-支出計画!$D$35,支出計画!$E$35)=0),支出計画!$C$35,0)+IF(AND(C39&gt;=支出計画!$D$36,C39&lt;=支出計画!$F$36,MOD(C39-支出計画!$D$36,支出計画!$E$36)=0),支出計画!$C$36,0)+IF(C39=支出計画!$D$37,支出計画!$C$37,0)+IF(C39=支出計画!$D$38,支出計画!$C$38,0)</f>
        <v>0</v>
      </c>
      <c r="X39" s="172">
        <f t="shared" si="6"/>
        <v>265.75946816500004</v>
      </c>
      <c r="Y39" s="172">
        <f t="shared" si="7"/>
        <v>364.17386516833335</v>
      </c>
      <c r="Z39" s="172">
        <f>Z38*(1+金融資産!$C$15)+Y39</f>
        <v>242.89028041264157</v>
      </c>
      <c r="AA39" s="1"/>
      <c r="AB39" s="1"/>
    </row>
    <row r="40" spans="1:28" ht="15" customHeight="1">
      <c r="A40" s="1"/>
      <c r="B40" s="167">
        <v>36</v>
      </c>
      <c r="C40" s="168">
        <f>基本情報!$C$3+B40-1</f>
        <v>2057</v>
      </c>
      <c r="D40" s="200">
        <f>IF(基本情報!$D$6="","",C40-YEAR(基本情報!$D$6)-IF(OR(MONTH(基本情報!$D$6)&gt;1,DAY(基本情報!$D$6)&gt;1),1,0))</f>
        <v>70</v>
      </c>
      <c r="E40" s="168">
        <f>IF(基本情報!$D$7="","",C40-YEAR(基本情報!$D$7)-IF(OR(MONTH(基本情報!$D$7)&gt;1,DAY(基本情報!$D$7)&gt;1),1,0))</f>
        <v>69</v>
      </c>
      <c r="F40" s="169">
        <f>IF(OR(基本情報!$D$8="",C40&lt;=YEAR(基本情報!$D$8)),"",MAX(0,C40-YEAR(基本情報!$D$8)-IF(OR(MONTH(基本情報!$D$8)&gt;1,DAY(基本情報!$D$8)&gt;1),1,0)))</f>
        <v>38</v>
      </c>
      <c r="G40" s="169">
        <f>IF(OR(基本情報!$D$9="",C40&lt;=YEAR(基本情報!$D$9)),"",MAX(0,C40-YEAR(基本情報!$D$9)-IF(OR(MONTH(基本情報!$D$9)&gt;1,DAY(基本情報!$D$9)&gt;1),1,0)))</f>
        <v>36</v>
      </c>
      <c r="H40" s="169">
        <f>IF(OR(基本情報!$D$10="",C40&lt;=YEAR(基本情報!$D$10)),"",MAX(0,C40-YEAR(基本情報!$D$10)-IF(OR(MONTH(基本情報!$D$10)&gt;1,DAY(基本情報!$D$10)&gt;1),1,0)))</f>
        <v>29</v>
      </c>
      <c r="I40" s="169">
        <f>IF(OR(基本情報!$D$11="",C40&lt;=YEAR(基本情報!$D$11)),"",MAX(0,C40-YEAR(基本情報!$D$11)-IF(OR(MONTH(基本情報!$D$11)&gt;1,DAY(基本情報!$D$11)&gt;1),1,0)))</f>
        <v>27</v>
      </c>
      <c r="J40" s="169">
        <f>IF(OR(基本情報!$D$12="",C40&lt;=YEAR(基本情報!$D$12)),"",MAX(0,C40-YEAR(基本情報!$D$12)-IF(OR(MONTH(基本情報!$D$12)&gt;1,DAY(基本情報!$D$12)&gt;1),1,0)))</f>
        <v>25</v>
      </c>
      <c r="K40" s="197">
        <f>IF(D40="","",IF(D40&lt;基本情報!$C$15,MAX(0,収入計画!$D$5*(1+収入計画!$E$5)^(B40-1)),IF(AND(D40&gt;=基本情報!$C$15,D40&lt;基本情報!$C$20),MAX(0,基本情報!$C$19*(収入計画!$D$5/収入計画!$C$5)),0)))</f>
        <v>0</v>
      </c>
      <c r="L40" s="170">
        <f>IF(E40="","",IF(E40&lt;基本情報!$D$15,IF(E40&lt;MAX(収入計画!$C$11,収入計画!$C$14,収入計画!$C$17,収入計画!$C$20,収入計画!$C$23),MAX(0,収入計画!$D$6*0.5*(1+収入計画!$E$6)^(B40-1)),MAX(0,収入計画!$D$6*(1+収入計画!$E$6)^(B40-1))),IF(AND(E40&gt;=基本情報!$D$15,E40&lt;基本情報!$D$20),MAX(0,基本情報!$D$19*(収入計画!$D$6/収入計画!$C$6)),0)))</f>
        <v>0</v>
      </c>
      <c r="M40" s="170">
        <f>IF(OR(D40="",E40=""),"",IF(D40=基本情報!$C$15,基本情報!$C$16,0)+IF(E40=基本情報!$D$15,基本情報!$D$16,0))</f>
        <v>0</v>
      </c>
      <c r="N40" s="170">
        <f>IF(D40="","",IF(OR(D40&gt;=基本情報!$C$17,E40&gt;=基本情報!$D$17),MAX(0,IF(D40&gt;=基本情報!$C$17,基本情報!$C$18*12,0)+IF(AND(E40&lt;&gt;"",E40&gt;=基本情報!$D$17),基本情報!$D$18*12,0)),""))</f>
        <v>312</v>
      </c>
      <c r="O40" s="170">
        <f t="shared" si="4"/>
        <v>0</v>
      </c>
      <c r="P40" s="205">
        <f t="shared" si="5"/>
        <v>312</v>
      </c>
      <c r="Q40" s="171">
        <f>IF(D40&lt;基本情報!$C$17,支出計画!$C$5*(1+支出計画!$D$5)^(B40-1),支出計画!$C$6*(1+支出計画!$D$6)^(D40-基本情報!$C$17))-IF(AND(F40&gt;=22,F40&lt;&gt;""),支出計画!$C$45,0)</f>
        <v>221.46567082417505</v>
      </c>
      <c r="R40" s="170">
        <f>IF(C40&lt;住宅ローン償還表!$C$9,支出計画!$C$7,0)</f>
        <v>0</v>
      </c>
      <c r="S40" s="170">
        <f>IFERROR(VLOOKUP(C40,住宅ローン償還表!$C$17:$H$46,6,FALSE()),0)</f>
        <v>0</v>
      </c>
      <c r="T40" s="197">
        <f>(IF(ライフイベント表!F39="",0,IF(AND(ライフイベント表!F39&gt;=0,ライフイベント表!F39&lt;=5),支出計画!$D$24,IF(AND(ライフイベント表!F39&gt;=6,ライフイベント表!F39&lt;=11),支出計画!$D$25,IF(AND(ライフイベント表!F39&gt;=12,ライフイベント表!F39&lt;=14),支出計画!$D$26,IF(AND(ライフイベント表!F39&gt;=15,ライフイベント表!F39&lt;=17),支出計画!$D$27,IF(ライフイベント表!F39=18,支出計画!$D$28,IF(AND(ライフイベント表!F39&gt;=19,ライフイベント表!F39&lt;=21),支出計画!$D$29,0)))))))+IF(ライフイベント表!G39="",0,IF(AND(ライフイベント表!G39&gt;=0,ライフイベント表!G39&lt;=5),支出計画!$D$24,IF(AND(ライフイベント表!G39&gt;=6,ライフイベント表!G39&lt;=11),支出計画!$D$25,IF(AND(ライフイベント表!G39&gt;=12,ライフイベント表!G39&lt;=14),支出計画!$D$26,IF(AND(ライフイベント表!G39&gt;=15,ライフイベント表!G39&lt;=17),支出計画!$D$27,IF(ライフイベント表!G39=18,支出計画!$D$28,IF(AND(ライフイベント表!G39&gt;=19,ライフイベント表!G39&lt;=21),支出計画!$D$29,0)))))))+IF(ライフイベント表!H39="",0,IF(AND(ライフイベント表!H39&gt;=0,ライフイベント表!H39&lt;=5),支出計画!$D$24,IF(AND(ライフイベント表!H39&gt;=6,ライフイベント表!H39&lt;=11),支出計画!$D$25,IF(AND(ライフイベント表!H39&gt;=12,ライフイベント表!H39&lt;=14),支出計画!$D$26,IF(AND(ライフイベント表!H39&gt;=15,ライフイベント表!H39&lt;=17),支出計画!$D$27,IF(ライフイベント表!H39=18,支出計画!$D$28,IF(AND(ライフイベント表!H39&gt;=19,ライフイベント表!H39&lt;=21),支出計画!$D$29,0)))))))+IF(ライフイベント表!I39="",0,IF(AND(ライフイベント表!I39&gt;=0,ライフイベント表!I39&lt;=5),支出計画!$D$24,IF(AND(ライフイベント表!I39&gt;=6,ライフイベント表!I39&lt;=11),支出計画!$D$25,IF(AND(ライフイベント表!I39&gt;=12,ライフイベント表!I39&lt;=14),支出計画!$D$26,IF(AND(ライフイベント表!I39&gt;=15,ライフイベント表!I39&lt;=17),支出計画!$D$27,IF(ライフイベント表!I39=18,支出計画!$D$28,IF(AND(ライフイベント表!I39&gt;=19,ライフイベント表!I39&lt;=21),支出計画!$D$29,0)))))))+IF(ライフイベント表!J39="",0,IF(AND(ライフイベント表!J39&gt;=0,ライフイベント表!J39&lt;=5),支出計画!$D$24,IF(AND(ライフイベント表!J39&gt;=6,ライフイベント表!J39&lt;=11),支出計画!$D$25,IF(AND(ライフイベント表!J39&gt;=12,ライフイベント表!J39&lt;=14),支出計画!$D$26,IF(AND(ライフイベント表!J39&gt;=15,ライフイベント表!J39&lt;=17),支出計画!$D$27,IF(ライフイベント表!J39=18,支出計画!$D$28,IF(AND(ライフイベント表!J39&gt;=19,ライフイベント表!J39&lt;=21),支出計画!$D$29,0))))))))*POWER(1.02,B40-1)</f>
        <v>0</v>
      </c>
      <c r="U40" s="170">
        <f>SUMPRODUCT((保険!$G$5:$G$12&lt;=C40)*(保険!$H$5:$H$12&gt;=C40)*保険!$F$5:$F$12)</f>
        <v>7</v>
      </c>
      <c r="V40" s="170">
        <f>支出計画!$C$9</f>
        <v>36</v>
      </c>
      <c r="W40" s="170">
        <f>IF(AND(C40&gt;=支出計画!$D$35,C40&lt;=支出計画!$F$35,MOD(C40-支出計画!$D$35,支出計画!$E$35)=0),支出計画!$C$35,0)+IF(AND(C40&gt;=支出計画!$D$36,C40&lt;=支出計画!$F$36,MOD(C40-支出計画!$D$36,支出計画!$E$36)=0),支出計画!$C$36,0)+IF(C40=支出計画!$D$37,支出計画!$C$37,0)+IF(C40=支出計画!$D$38,支出計画!$C$38,0)</f>
        <v>0</v>
      </c>
      <c r="X40" s="172">
        <f t="shared" si="6"/>
        <v>264.46567082417505</v>
      </c>
      <c r="Y40" s="172">
        <f t="shared" si="7"/>
        <v>47.534329175824951</v>
      </c>
      <c r="Z40" s="172">
        <f>Z39*(1+金融資産!$C$15)+Y40</f>
        <v>291.63906099052974</v>
      </c>
      <c r="AA40" s="1"/>
      <c r="AB40" s="1"/>
    </row>
    <row r="41" spans="1:28" ht="15" customHeight="1">
      <c r="A41" s="1"/>
      <c r="B41" s="167">
        <v>37</v>
      </c>
      <c r="C41" s="168">
        <f>基本情報!$C$3+B41-1</f>
        <v>2058</v>
      </c>
      <c r="D41" s="200">
        <f>IF(基本情報!$D$6="","",C41-YEAR(基本情報!$D$6)-IF(OR(MONTH(基本情報!$D$6)&gt;1,DAY(基本情報!$D$6)&gt;1),1,0))</f>
        <v>71</v>
      </c>
      <c r="E41" s="168">
        <f>IF(基本情報!$D$7="","",C41-YEAR(基本情報!$D$7)-IF(OR(MONTH(基本情報!$D$7)&gt;1,DAY(基本情報!$D$7)&gt;1),1,0))</f>
        <v>70</v>
      </c>
      <c r="F41" s="169">
        <f>IF(OR(基本情報!$D$8="",C41&lt;=YEAR(基本情報!$D$8)),"",MAX(0,C41-YEAR(基本情報!$D$8)-IF(OR(MONTH(基本情報!$D$8)&gt;1,DAY(基本情報!$D$8)&gt;1),1,0)))</f>
        <v>39</v>
      </c>
      <c r="G41" s="169">
        <f>IF(OR(基本情報!$D$9="",C41&lt;=YEAR(基本情報!$D$9)),"",MAX(0,C41-YEAR(基本情報!$D$9)-IF(OR(MONTH(基本情報!$D$9)&gt;1,DAY(基本情報!$D$9)&gt;1),1,0)))</f>
        <v>37</v>
      </c>
      <c r="H41" s="169">
        <f>IF(OR(基本情報!$D$10="",C41&lt;=YEAR(基本情報!$D$10)),"",MAX(0,C41-YEAR(基本情報!$D$10)-IF(OR(MONTH(基本情報!$D$10)&gt;1,DAY(基本情報!$D$10)&gt;1),1,0)))</f>
        <v>30</v>
      </c>
      <c r="I41" s="169">
        <f>IF(OR(基本情報!$D$11="",C41&lt;=YEAR(基本情報!$D$11)),"",MAX(0,C41-YEAR(基本情報!$D$11)-IF(OR(MONTH(基本情報!$D$11)&gt;1,DAY(基本情報!$D$11)&gt;1),1,0)))</f>
        <v>28</v>
      </c>
      <c r="J41" s="169">
        <f>IF(OR(基本情報!$D$12="",C41&lt;=YEAR(基本情報!$D$12)),"",MAX(0,C41-YEAR(基本情報!$D$12)-IF(OR(MONTH(基本情報!$D$12)&gt;1,DAY(基本情報!$D$12)&gt;1),1,0)))</f>
        <v>26</v>
      </c>
      <c r="K41" s="197">
        <f>IF(D41="","",IF(D41&lt;基本情報!$C$15,MAX(0,収入計画!$D$5*(1+収入計画!$E$5)^(B41-1)),IF(AND(D41&gt;=基本情報!$C$15,D41&lt;基本情報!$C$20),MAX(0,基本情報!$C$19*(収入計画!$D$5/収入計画!$C$5)),0)))</f>
        <v>0</v>
      </c>
      <c r="L41" s="170">
        <f>IF(E41="","",IF(E41&lt;基本情報!$D$15,IF(E41&lt;MAX(収入計画!$C$11,収入計画!$C$14,収入計画!$C$17,収入計画!$C$20,収入計画!$C$23),MAX(0,収入計画!$D$6*0.5*(1+収入計画!$E$6)^(B41-1)),MAX(0,収入計画!$D$6*(1+収入計画!$E$6)^(B41-1))),IF(AND(E41&gt;=基本情報!$D$15,E41&lt;基本情報!$D$20),MAX(0,基本情報!$D$19*(収入計画!$D$6/収入計画!$C$6)),0)))</f>
        <v>0</v>
      </c>
      <c r="M41" s="170">
        <f>IF(OR(D41="",E41=""),"",IF(D41=基本情報!$C$15,基本情報!$C$16,0)+IF(E41=基本情報!$D$15,基本情報!$D$16,0))</f>
        <v>0</v>
      </c>
      <c r="N41" s="170">
        <f>IF(D41="","",IF(OR(D41&gt;=基本情報!$C$17,E41&gt;=基本情報!$D$17),MAX(0,IF(D41&gt;=基本情報!$C$17,基本情報!$C$18*12,0)+IF(AND(E41&lt;&gt;"",E41&gt;=基本情報!$D$17),基本情報!$D$18*12,0)),""))</f>
        <v>312</v>
      </c>
      <c r="O41" s="170">
        <f t="shared" si="4"/>
        <v>0</v>
      </c>
      <c r="P41" s="205">
        <f t="shared" si="5"/>
        <v>312</v>
      </c>
      <c r="Q41" s="171">
        <f>IF(D41&lt;基本情報!$C$17,支出計画!$C$5*(1+支出計画!$D$5)^(B41-1),支出計画!$C$6*(1+支出計画!$D$6)^(D41-基本情報!$C$17))-IF(AND(F41&gt;=22,F41&lt;&gt;""),支出計画!$C$45,0)</f>
        <v>220.17834247005413</v>
      </c>
      <c r="R41" s="170">
        <f>IF(C41&lt;住宅ローン償還表!$C$9,支出計画!$C$7,0)</f>
        <v>0</v>
      </c>
      <c r="S41" s="170">
        <f>IFERROR(VLOOKUP(C41,住宅ローン償還表!$C$17:$H$46,6,FALSE()),0)</f>
        <v>0</v>
      </c>
      <c r="T41" s="197">
        <f>(IF(ライフイベント表!F40="",0,IF(AND(ライフイベント表!F40&gt;=0,ライフイベント表!F40&lt;=5),支出計画!$D$24,IF(AND(ライフイベント表!F40&gt;=6,ライフイベント表!F40&lt;=11),支出計画!$D$25,IF(AND(ライフイベント表!F40&gt;=12,ライフイベント表!F40&lt;=14),支出計画!$D$26,IF(AND(ライフイベント表!F40&gt;=15,ライフイベント表!F40&lt;=17),支出計画!$D$27,IF(ライフイベント表!F40=18,支出計画!$D$28,IF(AND(ライフイベント表!F40&gt;=19,ライフイベント表!F40&lt;=21),支出計画!$D$29,0)))))))+IF(ライフイベント表!G40="",0,IF(AND(ライフイベント表!G40&gt;=0,ライフイベント表!G40&lt;=5),支出計画!$D$24,IF(AND(ライフイベント表!G40&gt;=6,ライフイベント表!G40&lt;=11),支出計画!$D$25,IF(AND(ライフイベント表!G40&gt;=12,ライフイベント表!G40&lt;=14),支出計画!$D$26,IF(AND(ライフイベント表!G40&gt;=15,ライフイベント表!G40&lt;=17),支出計画!$D$27,IF(ライフイベント表!G40=18,支出計画!$D$28,IF(AND(ライフイベント表!G40&gt;=19,ライフイベント表!G40&lt;=21),支出計画!$D$29,0)))))))+IF(ライフイベント表!H40="",0,IF(AND(ライフイベント表!H40&gt;=0,ライフイベント表!H40&lt;=5),支出計画!$D$24,IF(AND(ライフイベント表!H40&gt;=6,ライフイベント表!H40&lt;=11),支出計画!$D$25,IF(AND(ライフイベント表!H40&gt;=12,ライフイベント表!H40&lt;=14),支出計画!$D$26,IF(AND(ライフイベント表!H40&gt;=15,ライフイベント表!H40&lt;=17),支出計画!$D$27,IF(ライフイベント表!H40=18,支出計画!$D$28,IF(AND(ライフイベント表!H40&gt;=19,ライフイベント表!H40&lt;=21),支出計画!$D$29,0)))))))+IF(ライフイベント表!I40="",0,IF(AND(ライフイベント表!I40&gt;=0,ライフイベント表!I40&lt;=5),支出計画!$D$24,IF(AND(ライフイベント表!I40&gt;=6,ライフイベント表!I40&lt;=11),支出計画!$D$25,IF(AND(ライフイベント表!I40&gt;=12,ライフイベント表!I40&lt;=14),支出計画!$D$26,IF(AND(ライフイベント表!I40&gt;=15,ライフイベント表!I40&lt;=17),支出計画!$D$27,IF(ライフイベント表!I40=18,支出計画!$D$28,IF(AND(ライフイベント表!I40&gt;=19,ライフイベント表!I40&lt;=21),支出計画!$D$29,0)))))))+IF(ライフイベント表!J40="",0,IF(AND(ライフイベント表!J40&gt;=0,ライフイベント表!J40&lt;=5),支出計画!$D$24,IF(AND(ライフイベント表!J40&gt;=6,ライフイベント表!J40&lt;=11),支出計画!$D$25,IF(AND(ライフイベント表!J40&gt;=12,ライフイベント表!J40&lt;=14),支出計画!$D$26,IF(AND(ライフイベント表!J40&gt;=15,ライフイベント表!J40&lt;=17),支出計画!$D$27,IF(ライフイベント表!J40=18,支出計画!$D$28,IF(AND(ライフイベント表!J40&gt;=19,ライフイベント表!J40&lt;=21),支出計画!$D$29,0))))))))*POWER(1.02,B41-1)</f>
        <v>0</v>
      </c>
      <c r="U41" s="170">
        <f>SUMPRODUCT((保険!$G$5:$G$12&lt;=C41)*(保険!$H$5:$H$12&gt;=C41)*保険!$F$5:$F$12)</f>
        <v>7</v>
      </c>
      <c r="V41" s="170">
        <f>支出計画!$C$9</f>
        <v>36</v>
      </c>
      <c r="W41" s="170">
        <f>IF(AND(C41&gt;=支出計画!$D$35,C41&lt;=支出計画!$F$35,MOD(C41-支出計画!$D$35,支出計画!$E$35)=0),支出計画!$C$35,0)+IF(AND(C41&gt;=支出計画!$D$36,C41&lt;=支出計画!$F$36,MOD(C41-支出計画!$D$36,支出計画!$E$36)=0),支出計画!$C$36,0)+IF(C41=支出計画!$D$37,支出計画!$C$37,0)+IF(C41=支出計画!$D$38,支出計画!$C$38,0)</f>
        <v>0</v>
      </c>
      <c r="X41" s="172">
        <f t="shared" si="6"/>
        <v>263.17834247005413</v>
      </c>
      <c r="Y41" s="172">
        <f t="shared" si="7"/>
        <v>48.821657529945867</v>
      </c>
      <c r="Z41" s="172">
        <f>Z40*(1+金融資産!$C$15)+Y41</f>
        <v>341.91891382542821</v>
      </c>
      <c r="AA41" s="1"/>
      <c r="AB41" s="1"/>
    </row>
    <row r="42" spans="1:28" ht="15" customHeight="1">
      <c r="A42" s="1"/>
      <c r="B42" s="167">
        <v>38</v>
      </c>
      <c r="C42" s="168">
        <f>基本情報!$C$3+B42-1</f>
        <v>2059</v>
      </c>
      <c r="D42" s="200">
        <f>IF(基本情報!$D$6="","",C42-YEAR(基本情報!$D$6)-IF(OR(MONTH(基本情報!$D$6)&gt;1,DAY(基本情報!$D$6)&gt;1),1,0))</f>
        <v>72</v>
      </c>
      <c r="E42" s="168">
        <f>IF(基本情報!$D$7="","",C42-YEAR(基本情報!$D$7)-IF(OR(MONTH(基本情報!$D$7)&gt;1,DAY(基本情報!$D$7)&gt;1),1,0))</f>
        <v>71</v>
      </c>
      <c r="F42" s="169">
        <f>IF(OR(基本情報!$D$8="",C42&lt;=YEAR(基本情報!$D$8)),"",MAX(0,C42-YEAR(基本情報!$D$8)-IF(OR(MONTH(基本情報!$D$8)&gt;1,DAY(基本情報!$D$8)&gt;1),1,0)))</f>
        <v>40</v>
      </c>
      <c r="G42" s="169">
        <f>IF(OR(基本情報!$D$9="",C42&lt;=YEAR(基本情報!$D$9)),"",MAX(0,C42-YEAR(基本情報!$D$9)-IF(OR(MONTH(基本情報!$D$9)&gt;1,DAY(基本情報!$D$9)&gt;1),1,0)))</f>
        <v>38</v>
      </c>
      <c r="H42" s="169">
        <f>IF(OR(基本情報!$D$10="",C42&lt;=YEAR(基本情報!$D$10)),"",MAX(0,C42-YEAR(基本情報!$D$10)-IF(OR(MONTH(基本情報!$D$10)&gt;1,DAY(基本情報!$D$10)&gt;1),1,0)))</f>
        <v>31</v>
      </c>
      <c r="I42" s="169">
        <f>IF(OR(基本情報!$D$11="",C42&lt;=YEAR(基本情報!$D$11)),"",MAX(0,C42-YEAR(基本情報!$D$11)-IF(OR(MONTH(基本情報!$D$11)&gt;1,DAY(基本情報!$D$11)&gt;1),1,0)))</f>
        <v>29</v>
      </c>
      <c r="J42" s="169">
        <f>IF(OR(基本情報!$D$12="",C42&lt;=YEAR(基本情報!$D$12)),"",MAX(0,C42-YEAR(基本情報!$D$12)-IF(OR(MONTH(基本情報!$D$12)&gt;1,DAY(基本情報!$D$12)&gt;1),1,0)))</f>
        <v>27</v>
      </c>
      <c r="K42" s="197">
        <f>IF(D42="","",IF(D42&lt;基本情報!$C$15,MAX(0,収入計画!$D$5*(1+収入計画!$E$5)^(B42-1)),IF(AND(D42&gt;=基本情報!$C$15,D42&lt;基本情報!$C$20),MAX(0,基本情報!$C$19*(収入計画!$D$5/収入計画!$C$5)),0)))</f>
        <v>0</v>
      </c>
      <c r="L42" s="170">
        <f>IF(E42="","",IF(E42&lt;基本情報!$D$15,IF(E42&lt;MAX(収入計画!$C$11,収入計画!$C$14,収入計画!$C$17,収入計画!$C$20,収入計画!$C$23),MAX(0,収入計画!$D$6*0.5*(1+収入計画!$E$6)^(B42-1)),MAX(0,収入計画!$D$6*(1+収入計画!$E$6)^(B42-1))),IF(AND(E42&gt;=基本情報!$D$15,E42&lt;基本情報!$D$20),MAX(0,基本情報!$D$19*(収入計画!$D$6/収入計画!$C$6)),0)))</f>
        <v>0</v>
      </c>
      <c r="M42" s="170">
        <f>IF(OR(D42="",E42=""),"",IF(D42=基本情報!$C$15,基本情報!$C$16,0)+IF(E42=基本情報!$D$15,基本情報!$D$16,0))</f>
        <v>0</v>
      </c>
      <c r="N42" s="170">
        <f>IF(D42="","",IF(OR(D42&gt;=基本情報!$C$17,E42&gt;=基本情報!$D$17),MAX(0,IF(D42&gt;=基本情報!$C$17,基本情報!$C$18*12,0)+IF(AND(E42&lt;&gt;"",E42&gt;=基本情報!$D$17),基本情報!$D$18*12,0)),""))</f>
        <v>312</v>
      </c>
      <c r="O42" s="170">
        <f t="shared" si="4"/>
        <v>0</v>
      </c>
      <c r="P42" s="205">
        <f t="shared" si="5"/>
        <v>312</v>
      </c>
      <c r="Q42" s="171">
        <f>IF(D42&lt;基本情報!$C$17,支出計画!$C$5*(1+支出計画!$D$5)^(B42-1),支出計画!$C$6*(1+支出計画!$D$6)^(D42-基本情報!$C$17))-IF(AND(F42&gt;=22,F42&lt;&gt;""),支出計画!$C$45,0)</f>
        <v>218.89745075770387</v>
      </c>
      <c r="R42" s="170">
        <f>IF(C42&lt;住宅ローン償還表!$C$9,支出計画!$C$7,0)</f>
        <v>0</v>
      </c>
      <c r="S42" s="170">
        <f>IFERROR(VLOOKUP(C42,住宅ローン償還表!$C$17:$H$46,6,FALSE()),0)</f>
        <v>0</v>
      </c>
      <c r="T42" s="197">
        <f>(IF(ライフイベント表!F41="",0,IF(AND(ライフイベント表!F41&gt;=0,ライフイベント表!F41&lt;=5),支出計画!$D$24,IF(AND(ライフイベント表!F41&gt;=6,ライフイベント表!F41&lt;=11),支出計画!$D$25,IF(AND(ライフイベント表!F41&gt;=12,ライフイベント表!F41&lt;=14),支出計画!$D$26,IF(AND(ライフイベント表!F41&gt;=15,ライフイベント表!F41&lt;=17),支出計画!$D$27,IF(ライフイベント表!F41=18,支出計画!$D$28,IF(AND(ライフイベント表!F41&gt;=19,ライフイベント表!F41&lt;=21),支出計画!$D$29,0)))))))+IF(ライフイベント表!G41="",0,IF(AND(ライフイベント表!G41&gt;=0,ライフイベント表!G41&lt;=5),支出計画!$D$24,IF(AND(ライフイベント表!G41&gt;=6,ライフイベント表!G41&lt;=11),支出計画!$D$25,IF(AND(ライフイベント表!G41&gt;=12,ライフイベント表!G41&lt;=14),支出計画!$D$26,IF(AND(ライフイベント表!G41&gt;=15,ライフイベント表!G41&lt;=17),支出計画!$D$27,IF(ライフイベント表!G41=18,支出計画!$D$28,IF(AND(ライフイベント表!G41&gt;=19,ライフイベント表!G41&lt;=21),支出計画!$D$29,0)))))))+IF(ライフイベント表!H41="",0,IF(AND(ライフイベント表!H41&gt;=0,ライフイベント表!H41&lt;=5),支出計画!$D$24,IF(AND(ライフイベント表!H41&gt;=6,ライフイベント表!H41&lt;=11),支出計画!$D$25,IF(AND(ライフイベント表!H41&gt;=12,ライフイベント表!H41&lt;=14),支出計画!$D$26,IF(AND(ライフイベント表!H41&gt;=15,ライフイベント表!H41&lt;=17),支出計画!$D$27,IF(ライフイベント表!H41=18,支出計画!$D$28,IF(AND(ライフイベント表!H41&gt;=19,ライフイベント表!H41&lt;=21),支出計画!$D$29,0)))))))+IF(ライフイベント表!I41="",0,IF(AND(ライフイベント表!I41&gt;=0,ライフイベント表!I41&lt;=5),支出計画!$D$24,IF(AND(ライフイベント表!I41&gt;=6,ライフイベント表!I41&lt;=11),支出計画!$D$25,IF(AND(ライフイベント表!I41&gt;=12,ライフイベント表!I41&lt;=14),支出計画!$D$26,IF(AND(ライフイベント表!I41&gt;=15,ライフイベント表!I41&lt;=17),支出計画!$D$27,IF(ライフイベント表!I41=18,支出計画!$D$28,IF(AND(ライフイベント表!I41&gt;=19,ライフイベント表!I41&lt;=21),支出計画!$D$29,0)))))))+IF(ライフイベント表!J41="",0,IF(AND(ライフイベント表!J41&gt;=0,ライフイベント表!J41&lt;=5),支出計画!$D$24,IF(AND(ライフイベント表!J41&gt;=6,ライフイベント表!J41&lt;=11),支出計画!$D$25,IF(AND(ライフイベント表!J41&gt;=12,ライフイベント表!J41&lt;=14),支出計画!$D$26,IF(AND(ライフイベント表!J41&gt;=15,ライフイベント表!J41&lt;=17),支出計画!$D$27,IF(ライフイベント表!J41=18,支出計画!$D$28,IF(AND(ライフイベント表!J41&gt;=19,ライフイベント表!J41&lt;=21),支出計画!$D$29,0))))))))*POWER(1.02,B42-1)</f>
        <v>0</v>
      </c>
      <c r="U42" s="170">
        <f>SUMPRODUCT((保険!$G$5:$G$12&lt;=C42)*(保険!$H$5:$H$12&gt;=C42)*保険!$F$5:$F$12)</f>
        <v>7</v>
      </c>
      <c r="V42" s="170">
        <f>支出計画!$C$9</f>
        <v>36</v>
      </c>
      <c r="W42" s="170">
        <f>IF(AND(C42&gt;=支出計画!$D$35,C42&lt;=支出計画!$F$35,MOD(C42-支出計画!$D$35,支出計画!$E$35)=0),支出計画!$C$35,0)+IF(AND(C42&gt;=支出計画!$D$36,C42&lt;=支出計画!$F$36,MOD(C42-支出計画!$D$36,支出計画!$E$36)=0),支出計画!$C$36,0)+IF(C42=支出計画!$D$37,支出計画!$C$37,0)+IF(C42=支出計画!$D$38,支出計画!$C$38,0)</f>
        <v>200</v>
      </c>
      <c r="X42" s="172">
        <f t="shared" si="6"/>
        <v>461.89745075770384</v>
      </c>
      <c r="Y42" s="172">
        <f t="shared" si="7"/>
        <v>-149.89745075770384</v>
      </c>
      <c r="Z42" s="172">
        <f>Z41*(1+金融資産!$C$15)+Y42</f>
        <v>193.73105763685146</v>
      </c>
      <c r="AA42" s="1"/>
      <c r="AB42" s="1"/>
    </row>
    <row r="43" spans="1:28" ht="15" customHeight="1">
      <c r="A43" s="1"/>
      <c r="B43" s="167">
        <v>39</v>
      </c>
      <c r="C43" s="168">
        <f>基本情報!$C$3+B43-1</f>
        <v>2060</v>
      </c>
      <c r="D43" s="200">
        <f>IF(基本情報!$D$6="","",C43-YEAR(基本情報!$D$6)-IF(OR(MONTH(基本情報!$D$6)&gt;1,DAY(基本情報!$D$6)&gt;1),1,0))</f>
        <v>73</v>
      </c>
      <c r="E43" s="168">
        <f>IF(基本情報!$D$7="","",C43-YEAR(基本情報!$D$7)-IF(OR(MONTH(基本情報!$D$7)&gt;1,DAY(基本情報!$D$7)&gt;1),1,0))</f>
        <v>72</v>
      </c>
      <c r="F43" s="169">
        <f>IF(OR(基本情報!$D$8="",C43&lt;=YEAR(基本情報!$D$8)),"",MAX(0,C43-YEAR(基本情報!$D$8)-IF(OR(MONTH(基本情報!$D$8)&gt;1,DAY(基本情報!$D$8)&gt;1),1,0)))</f>
        <v>41</v>
      </c>
      <c r="G43" s="169">
        <f>IF(OR(基本情報!$D$9="",C43&lt;=YEAR(基本情報!$D$9)),"",MAX(0,C43-YEAR(基本情報!$D$9)-IF(OR(MONTH(基本情報!$D$9)&gt;1,DAY(基本情報!$D$9)&gt;1),1,0)))</f>
        <v>39</v>
      </c>
      <c r="H43" s="169">
        <f>IF(OR(基本情報!$D$10="",C43&lt;=YEAR(基本情報!$D$10)),"",MAX(0,C43-YEAR(基本情報!$D$10)-IF(OR(MONTH(基本情報!$D$10)&gt;1,DAY(基本情報!$D$10)&gt;1),1,0)))</f>
        <v>32</v>
      </c>
      <c r="I43" s="169">
        <f>IF(OR(基本情報!$D$11="",C43&lt;=YEAR(基本情報!$D$11)),"",MAX(0,C43-YEAR(基本情報!$D$11)-IF(OR(MONTH(基本情報!$D$11)&gt;1,DAY(基本情報!$D$11)&gt;1),1,0)))</f>
        <v>30</v>
      </c>
      <c r="J43" s="169">
        <f>IF(OR(基本情報!$D$12="",C43&lt;=YEAR(基本情報!$D$12)),"",MAX(0,C43-YEAR(基本情報!$D$12)-IF(OR(MONTH(基本情報!$D$12)&gt;1,DAY(基本情報!$D$12)&gt;1),1,0)))</f>
        <v>28</v>
      </c>
      <c r="K43" s="197">
        <f>IF(D43="","",IF(D43&lt;基本情報!$C$15,MAX(0,収入計画!$D$5*(1+収入計画!$E$5)^(B43-1)),IF(AND(D43&gt;=基本情報!$C$15,D43&lt;基本情報!$C$20),MAX(0,基本情報!$C$19*(収入計画!$D$5/収入計画!$C$5)),0)))</f>
        <v>0</v>
      </c>
      <c r="L43" s="170">
        <f>IF(E43="","",IF(E43&lt;基本情報!$D$15,IF(E43&lt;MAX(収入計画!$C$11,収入計画!$C$14,収入計画!$C$17,収入計画!$C$20,収入計画!$C$23),MAX(0,収入計画!$D$6*0.5*(1+収入計画!$E$6)^(B43-1)),MAX(0,収入計画!$D$6*(1+収入計画!$E$6)^(B43-1))),IF(AND(E43&gt;=基本情報!$D$15,E43&lt;基本情報!$D$20),MAX(0,基本情報!$D$19*(収入計画!$D$6/収入計画!$C$6)),0)))</f>
        <v>0</v>
      </c>
      <c r="M43" s="170">
        <f>IF(OR(D43="",E43=""),"",IF(D43=基本情報!$C$15,基本情報!$C$16,0)+IF(E43=基本情報!$D$15,基本情報!$D$16,0))</f>
        <v>0</v>
      </c>
      <c r="N43" s="170">
        <f>IF(D43="","",IF(OR(D43&gt;=基本情報!$C$17,E43&gt;=基本情報!$D$17),MAX(0,IF(D43&gt;=基本情報!$C$17,基本情報!$C$18*12,0)+IF(AND(E43&lt;&gt;"",E43&gt;=基本情報!$D$17),基本情報!$D$18*12,0)),""))</f>
        <v>312</v>
      </c>
      <c r="O43" s="170">
        <f t="shared" si="4"/>
        <v>0</v>
      </c>
      <c r="P43" s="205">
        <f t="shared" si="5"/>
        <v>312</v>
      </c>
      <c r="Q43" s="171">
        <f>IF(D43&lt;基本情報!$C$17,支出計画!$C$5*(1+支出計画!$D$5)^(B43-1),支出計画!$C$6*(1+支出計画!$D$6)^(D43-基本情報!$C$17))-IF(AND(F43&gt;=22,F43&lt;&gt;""),支出計画!$C$45,0)</f>
        <v>217.62296350391534</v>
      </c>
      <c r="R43" s="170">
        <f>IF(C43&lt;住宅ローン償還表!$C$9,支出計画!$C$7,0)</f>
        <v>0</v>
      </c>
      <c r="S43" s="170">
        <f>IFERROR(VLOOKUP(C43,住宅ローン償還表!$C$17:$H$46,6,FALSE()),0)</f>
        <v>0</v>
      </c>
      <c r="T43" s="197">
        <f>(IF(ライフイベント表!F42="",0,IF(AND(ライフイベント表!F42&gt;=0,ライフイベント表!F42&lt;=5),支出計画!$D$24,IF(AND(ライフイベント表!F42&gt;=6,ライフイベント表!F42&lt;=11),支出計画!$D$25,IF(AND(ライフイベント表!F42&gt;=12,ライフイベント表!F42&lt;=14),支出計画!$D$26,IF(AND(ライフイベント表!F42&gt;=15,ライフイベント表!F42&lt;=17),支出計画!$D$27,IF(ライフイベント表!F42=18,支出計画!$D$28,IF(AND(ライフイベント表!F42&gt;=19,ライフイベント表!F42&lt;=21),支出計画!$D$29,0)))))))+IF(ライフイベント表!G42="",0,IF(AND(ライフイベント表!G42&gt;=0,ライフイベント表!G42&lt;=5),支出計画!$D$24,IF(AND(ライフイベント表!G42&gt;=6,ライフイベント表!G42&lt;=11),支出計画!$D$25,IF(AND(ライフイベント表!G42&gt;=12,ライフイベント表!G42&lt;=14),支出計画!$D$26,IF(AND(ライフイベント表!G42&gt;=15,ライフイベント表!G42&lt;=17),支出計画!$D$27,IF(ライフイベント表!G42=18,支出計画!$D$28,IF(AND(ライフイベント表!G42&gt;=19,ライフイベント表!G42&lt;=21),支出計画!$D$29,0)))))))+IF(ライフイベント表!H42="",0,IF(AND(ライフイベント表!H42&gt;=0,ライフイベント表!H42&lt;=5),支出計画!$D$24,IF(AND(ライフイベント表!H42&gt;=6,ライフイベント表!H42&lt;=11),支出計画!$D$25,IF(AND(ライフイベント表!H42&gt;=12,ライフイベント表!H42&lt;=14),支出計画!$D$26,IF(AND(ライフイベント表!H42&gt;=15,ライフイベント表!H42&lt;=17),支出計画!$D$27,IF(ライフイベント表!H42=18,支出計画!$D$28,IF(AND(ライフイベント表!H42&gt;=19,ライフイベント表!H42&lt;=21),支出計画!$D$29,0)))))))+IF(ライフイベント表!I42="",0,IF(AND(ライフイベント表!I42&gt;=0,ライフイベント表!I42&lt;=5),支出計画!$D$24,IF(AND(ライフイベント表!I42&gt;=6,ライフイベント表!I42&lt;=11),支出計画!$D$25,IF(AND(ライフイベント表!I42&gt;=12,ライフイベント表!I42&lt;=14),支出計画!$D$26,IF(AND(ライフイベント表!I42&gt;=15,ライフイベント表!I42&lt;=17),支出計画!$D$27,IF(ライフイベント表!I42=18,支出計画!$D$28,IF(AND(ライフイベント表!I42&gt;=19,ライフイベント表!I42&lt;=21),支出計画!$D$29,0)))))))+IF(ライフイベント表!J42="",0,IF(AND(ライフイベント表!J42&gt;=0,ライフイベント表!J42&lt;=5),支出計画!$D$24,IF(AND(ライフイベント表!J42&gt;=6,ライフイベント表!J42&lt;=11),支出計画!$D$25,IF(AND(ライフイベント表!J42&gt;=12,ライフイベント表!J42&lt;=14),支出計画!$D$26,IF(AND(ライフイベント表!J42&gt;=15,ライフイベント表!J42&lt;=17),支出計画!$D$27,IF(ライフイベント表!J42=18,支出計画!$D$28,IF(AND(ライフイベント表!J42&gt;=19,ライフイベント表!J42&lt;=21),支出計画!$D$29,0))))))))*POWER(1.02,B43-1)</f>
        <v>0</v>
      </c>
      <c r="U43" s="170">
        <f>SUMPRODUCT((保険!$G$5:$G$12&lt;=C43)*(保険!$H$5:$H$12&gt;=C43)*保険!$F$5:$F$12)</f>
        <v>7</v>
      </c>
      <c r="V43" s="170">
        <f>支出計画!$C$9</f>
        <v>36</v>
      </c>
      <c r="W43" s="170">
        <f>IF(AND(C43&gt;=支出計画!$D$35,C43&lt;=支出計画!$F$35,MOD(C43-支出計画!$D$35,支出計画!$E$35)=0),支出計画!$C$35,0)+IF(AND(C43&gt;=支出計画!$D$36,C43&lt;=支出計画!$F$36,MOD(C43-支出計画!$D$36,支出計画!$E$36)=0),支出計画!$C$36,0)+IF(C43=支出計画!$D$37,支出計画!$C$37,0)+IF(C43=支出計画!$D$38,支出計画!$C$38,0)</f>
        <v>0</v>
      </c>
      <c r="X43" s="172">
        <f t="shared" si="6"/>
        <v>260.62296350391534</v>
      </c>
      <c r="Y43" s="172">
        <f t="shared" si="7"/>
        <v>51.377036496084656</v>
      </c>
      <c r="Z43" s="172">
        <f>Z42*(1+金融資産!$C$15)+Y43</f>
        <v>246.07674942112035</v>
      </c>
      <c r="AA43" s="1"/>
      <c r="AB43" s="1"/>
    </row>
    <row r="44" spans="1:28" ht="15" customHeight="1">
      <c r="A44" s="1"/>
      <c r="B44" s="167">
        <v>40</v>
      </c>
      <c r="C44" s="168">
        <f>基本情報!$C$3+B44-1</f>
        <v>2061</v>
      </c>
      <c r="D44" s="200">
        <f>IF(基本情報!$D$6="","",C44-YEAR(基本情報!$D$6)-IF(OR(MONTH(基本情報!$D$6)&gt;1,DAY(基本情報!$D$6)&gt;1),1,0))</f>
        <v>74</v>
      </c>
      <c r="E44" s="168">
        <f>IF(基本情報!$D$7="","",C44-YEAR(基本情報!$D$7)-IF(OR(MONTH(基本情報!$D$7)&gt;1,DAY(基本情報!$D$7)&gt;1),1,0))</f>
        <v>73</v>
      </c>
      <c r="F44" s="169">
        <f>IF(OR(基本情報!$D$8="",C44&lt;=YEAR(基本情報!$D$8)),"",MAX(0,C44-YEAR(基本情報!$D$8)-IF(OR(MONTH(基本情報!$D$8)&gt;1,DAY(基本情報!$D$8)&gt;1),1,0)))</f>
        <v>42</v>
      </c>
      <c r="G44" s="169">
        <f>IF(OR(基本情報!$D$9="",C44&lt;=YEAR(基本情報!$D$9)),"",MAX(0,C44-YEAR(基本情報!$D$9)-IF(OR(MONTH(基本情報!$D$9)&gt;1,DAY(基本情報!$D$9)&gt;1),1,0)))</f>
        <v>40</v>
      </c>
      <c r="H44" s="169">
        <f>IF(OR(基本情報!$D$10="",C44&lt;=YEAR(基本情報!$D$10)),"",MAX(0,C44-YEAR(基本情報!$D$10)-IF(OR(MONTH(基本情報!$D$10)&gt;1,DAY(基本情報!$D$10)&gt;1),1,0)))</f>
        <v>33</v>
      </c>
      <c r="I44" s="169">
        <f>IF(OR(基本情報!$D$11="",C44&lt;=YEAR(基本情報!$D$11)),"",MAX(0,C44-YEAR(基本情報!$D$11)-IF(OR(MONTH(基本情報!$D$11)&gt;1,DAY(基本情報!$D$11)&gt;1),1,0)))</f>
        <v>31</v>
      </c>
      <c r="J44" s="169">
        <f>IF(OR(基本情報!$D$12="",C44&lt;=YEAR(基本情報!$D$12)),"",MAX(0,C44-YEAR(基本情報!$D$12)-IF(OR(MONTH(基本情報!$D$12)&gt;1,DAY(基本情報!$D$12)&gt;1),1,0)))</f>
        <v>29</v>
      </c>
      <c r="K44" s="197">
        <f>IF(D44="","",IF(D44&lt;基本情報!$C$15,MAX(0,収入計画!$D$5*(1+収入計画!$E$5)^(B44-1)),IF(AND(D44&gt;=基本情報!$C$15,D44&lt;基本情報!$C$20),MAX(0,基本情報!$C$19*(収入計画!$D$5/収入計画!$C$5)),0)))</f>
        <v>0</v>
      </c>
      <c r="L44" s="170">
        <f>IF(E44="","",IF(E44&lt;基本情報!$D$15,IF(E44&lt;MAX(収入計画!$C$11,収入計画!$C$14,収入計画!$C$17,収入計画!$C$20,収入計画!$C$23),MAX(0,収入計画!$D$6*0.5*(1+収入計画!$E$6)^(B44-1)),MAX(0,収入計画!$D$6*(1+収入計画!$E$6)^(B44-1))),IF(AND(E44&gt;=基本情報!$D$15,E44&lt;基本情報!$D$20),MAX(0,基本情報!$D$19*(収入計画!$D$6/収入計画!$C$6)),0)))</f>
        <v>0</v>
      </c>
      <c r="M44" s="170">
        <f>IF(OR(D44="",E44=""),"",IF(D44=基本情報!$C$15,基本情報!$C$16,0)+IF(E44=基本情報!$D$15,基本情報!$D$16,0))</f>
        <v>0</v>
      </c>
      <c r="N44" s="170">
        <f>IF(D44="","",IF(OR(D44&gt;=基本情報!$C$17,E44&gt;=基本情報!$D$17),MAX(0,IF(D44&gt;=基本情報!$C$17,基本情報!$C$18*12,0)+IF(AND(E44&lt;&gt;"",E44&gt;=基本情報!$D$17),基本情報!$D$18*12,0)),""))</f>
        <v>312</v>
      </c>
      <c r="O44" s="170">
        <f t="shared" si="4"/>
        <v>0</v>
      </c>
      <c r="P44" s="205">
        <f t="shared" si="5"/>
        <v>312</v>
      </c>
      <c r="Q44" s="171">
        <f>IF(D44&lt;基本情報!$C$17,支出計画!$C$5*(1+支出計画!$D$5)^(B44-1),支出計画!$C$6*(1+支出計画!$D$6)^(D44-基本情報!$C$17))-IF(AND(F44&gt;=22,F44&lt;&gt;""),支出計画!$C$45,0)</f>
        <v>216.35484868639577</v>
      </c>
      <c r="R44" s="170">
        <f>IF(C44&lt;住宅ローン償還表!$C$9,支出計画!$C$7,0)</f>
        <v>0</v>
      </c>
      <c r="S44" s="170">
        <f>IFERROR(VLOOKUP(C44,住宅ローン償還表!$C$17:$H$46,6,FALSE()),0)</f>
        <v>0</v>
      </c>
      <c r="T44" s="197">
        <f>(IF(ライフイベント表!F43="",0,IF(AND(ライフイベント表!F43&gt;=0,ライフイベント表!F43&lt;=5),支出計画!$D$24,IF(AND(ライフイベント表!F43&gt;=6,ライフイベント表!F43&lt;=11),支出計画!$D$25,IF(AND(ライフイベント表!F43&gt;=12,ライフイベント表!F43&lt;=14),支出計画!$D$26,IF(AND(ライフイベント表!F43&gt;=15,ライフイベント表!F43&lt;=17),支出計画!$D$27,IF(ライフイベント表!F43=18,支出計画!$D$28,IF(AND(ライフイベント表!F43&gt;=19,ライフイベント表!F43&lt;=21),支出計画!$D$29,0)))))))+IF(ライフイベント表!G43="",0,IF(AND(ライフイベント表!G43&gt;=0,ライフイベント表!G43&lt;=5),支出計画!$D$24,IF(AND(ライフイベント表!G43&gt;=6,ライフイベント表!G43&lt;=11),支出計画!$D$25,IF(AND(ライフイベント表!G43&gt;=12,ライフイベント表!G43&lt;=14),支出計画!$D$26,IF(AND(ライフイベント表!G43&gt;=15,ライフイベント表!G43&lt;=17),支出計画!$D$27,IF(ライフイベント表!G43=18,支出計画!$D$28,IF(AND(ライフイベント表!G43&gt;=19,ライフイベント表!G43&lt;=21),支出計画!$D$29,0)))))))+IF(ライフイベント表!H43="",0,IF(AND(ライフイベント表!H43&gt;=0,ライフイベント表!H43&lt;=5),支出計画!$D$24,IF(AND(ライフイベント表!H43&gt;=6,ライフイベント表!H43&lt;=11),支出計画!$D$25,IF(AND(ライフイベント表!H43&gt;=12,ライフイベント表!H43&lt;=14),支出計画!$D$26,IF(AND(ライフイベント表!H43&gt;=15,ライフイベント表!H43&lt;=17),支出計画!$D$27,IF(ライフイベント表!H43=18,支出計画!$D$28,IF(AND(ライフイベント表!H43&gt;=19,ライフイベント表!H43&lt;=21),支出計画!$D$29,0)))))))+IF(ライフイベント表!I43="",0,IF(AND(ライフイベント表!I43&gt;=0,ライフイベント表!I43&lt;=5),支出計画!$D$24,IF(AND(ライフイベント表!I43&gt;=6,ライフイベント表!I43&lt;=11),支出計画!$D$25,IF(AND(ライフイベント表!I43&gt;=12,ライフイベント表!I43&lt;=14),支出計画!$D$26,IF(AND(ライフイベント表!I43&gt;=15,ライフイベント表!I43&lt;=17),支出計画!$D$27,IF(ライフイベント表!I43=18,支出計画!$D$28,IF(AND(ライフイベント表!I43&gt;=19,ライフイベント表!I43&lt;=21),支出計画!$D$29,0)))))))+IF(ライフイベント表!J43="",0,IF(AND(ライフイベント表!J43&gt;=0,ライフイベント表!J43&lt;=5),支出計画!$D$24,IF(AND(ライフイベント表!J43&gt;=6,ライフイベント表!J43&lt;=11),支出計画!$D$25,IF(AND(ライフイベント表!J43&gt;=12,ライフイベント表!J43&lt;=14),支出計画!$D$26,IF(AND(ライフイベント表!J43&gt;=15,ライフイベント表!J43&lt;=17),支出計画!$D$27,IF(ライフイベント表!J43=18,支出計画!$D$28,IF(AND(ライフイベント表!J43&gt;=19,ライフイベント表!J43&lt;=21),支出計画!$D$29,0))))))))*POWER(1.02,B44-1)</f>
        <v>0</v>
      </c>
      <c r="U44" s="170">
        <f>SUMPRODUCT((保険!$G$5:$G$12&lt;=C44)*(保険!$H$5:$H$12&gt;=C44)*保険!$F$5:$F$12)</f>
        <v>7</v>
      </c>
      <c r="V44" s="170">
        <f>支出計画!$C$9</f>
        <v>36</v>
      </c>
      <c r="W44" s="170">
        <f>IF(AND(C44&gt;=支出計画!$D$35,C44&lt;=支出計画!$F$35,MOD(C44-支出計画!$D$35,支出計画!$E$35)=0),支出計画!$C$35,0)+IF(AND(C44&gt;=支出計画!$D$36,C44&lt;=支出計画!$F$36,MOD(C44-支出計画!$D$36,支出計画!$E$36)=0),支出計画!$C$36,0)+IF(C44=支出計画!$D$37,支出計画!$C$37,0)+IF(C44=支出計画!$D$38,支出計画!$C$38,0)</f>
        <v>0</v>
      </c>
      <c r="X44" s="172">
        <f t="shared" si="6"/>
        <v>259.35484868639577</v>
      </c>
      <c r="Y44" s="172">
        <f t="shared" si="7"/>
        <v>52.645151313604231</v>
      </c>
      <c r="Z44" s="172">
        <f>Z43*(1+金融資産!$C$15)+Y44</f>
        <v>299.95228448183013</v>
      </c>
      <c r="AA44" s="1"/>
      <c r="AB44" s="1"/>
    </row>
    <row r="45" spans="1:28" ht="15" customHeight="1">
      <c r="A45" s="1"/>
      <c r="B45" s="167">
        <v>41</v>
      </c>
      <c r="C45" s="168">
        <f>基本情報!$C$3+B45-1</f>
        <v>2062</v>
      </c>
      <c r="D45" s="200">
        <f>IF(基本情報!$D$6="","",C45-YEAR(基本情報!$D$6)-IF(OR(MONTH(基本情報!$D$6)&gt;1,DAY(基本情報!$D$6)&gt;1),1,0))</f>
        <v>75</v>
      </c>
      <c r="E45" s="168">
        <f>IF(基本情報!$D$7="","",C45-YEAR(基本情報!$D$7)-IF(OR(MONTH(基本情報!$D$7)&gt;1,DAY(基本情報!$D$7)&gt;1),1,0))</f>
        <v>74</v>
      </c>
      <c r="F45" s="169">
        <f>IF(OR(基本情報!$D$8="",C45&lt;=YEAR(基本情報!$D$8)),"",MAX(0,C45-YEAR(基本情報!$D$8)-IF(OR(MONTH(基本情報!$D$8)&gt;1,DAY(基本情報!$D$8)&gt;1),1,0)))</f>
        <v>43</v>
      </c>
      <c r="G45" s="169">
        <f>IF(OR(基本情報!$D$9="",C45&lt;=YEAR(基本情報!$D$9)),"",MAX(0,C45-YEAR(基本情報!$D$9)-IF(OR(MONTH(基本情報!$D$9)&gt;1,DAY(基本情報!$D$9)&gt;1),1,0)))</f>
        <v>41</v>
      </c>
      <c r="H45" s="169">
        <f>IF(OR(基本情報!$D$10="",C45&lt;=YEAR(基本情報!$D$10)),"",MAX(0,C45-YEAR(基本情報!$D$10)-IF(OR(MONTH(基本情報!$D$10)&gt;1,DAY(基本情報!$D$10)&gt;1),1,0)))</f>
        <v>34</v>
      </c>
      <c r="I45" s="169">
        <f>IF(OR(基本情報!$D$11="",C45&lt;=YEAR(基本情報!$D$11)),"",MAX(0,C45-YEAR(基本情報!$D$11)-IF(OR(MONTH(基本情報!$D$11)&gt;1,DAY(基本情報!$D$11)&gt;1),1,0)))</f>
        <v>32</v>
      </c>
      <c r="J45" s="169">
        <f>IF(OR(基本情報!$D$12="",C45&lt;=YEAR(基本情報!$D$12)),"",MAX(0,C45-YEAR(基本情報!$D$12)-IF(OR(MONTH(基本情報!$D$12)&gt;1,DAY(基本情報!$D$12)&gt;1),1,0)))</f>
        <v>30</v>
      </c>
      <c r="K45" s="197">
        <f>IF(D45="","",IF(D45&lt;基本情報!$C$15,MAX(0,収入計画!$D$5*(1+収入計画!$E$5)^(B45-1)),IF(AND(D45&gt;=基本情報!$C$15,D45&lt;基本情報!$C$20),MAX(0,基本情報!$C$19*(収入計画!$D$5/収入計画!$C$5)),0)))</f>
        <v>0</v>
      </c>
      <c r="L45" s="170">
        <f>IF(E45="","",IF(E45&lt;基本情報!$D$15,IF(E45&lt;MAX(収入計画!$C$11,収入計画!$C$14,収入計画!$C$17,収入計画!$C$20,収入計画!$C$23),MAX(0,収入計画!$D$6*0.5*(1+収入計画!$E$6)^(B45-1)),MAX(0,収入計画!$D$6*(1+収入計画!$E$6)^(B45-1))),IF(AND(E45&gt;=基本情報!$D$15,E45&lt;基本情報!$D$20),MAX(0,基本情報!$D$19*(収入計画!$D$6/収入計画!$C$6)),0)))</f>
        <v>0</v>
      </c>
      <c r="M45" s="170">
        <f>IF(OR(D45="",E45=""),"",IF(D45=基本情報!$C$15,基本情報!$C$16,0)+IF(E45=基本情報!$D$15,基本情報!$D$16,0))</f>
        <v>0</v>
      </c>
      <c r="N45" s="170">
        <f>IF(D45="","",IF(OR(D45&gt;=基本情報!$C$17,E45&gt;=基本情報!$D$17),MAX(0,IF(D45&gt;=基本情報!$C$17,基本情報!$C$18*12,0)+IF(AND(E45&lt;&gt;"",E45&gt;=基本情報!$D$17),基本情報!$D$18*12,0)),""))</f>
        <v>312</v>
      </c>
      <c r="O45" s="170">
        <f t="shared" si="4"/>
        <v>0</v>
      </c>
      <c r="P45" s="205">
        <f t="shared" si="5"/>
        <v>312</v>
      </c>
      <c r="Q45" s="171">
        <f>IF(D45&lt;基本情報!$C$17,支出計画!$C$5*(1+支出計画!$D$5)^(B45-1),支出計画!$C$6*(1+支出計画!$D$6)^(D45-基本情報!$C$17))-IF(AND(F45&gt;=22,F45&lt;&gt;""),支出計画!$C$45,0)</f>
        <v>215.0930744429638</v>
      </c>
      <c r="R45" s="170">
        <f>IF(C45&lt;住宅ローン償還表!$C$9,支出計画!$C$7,0)</f>
        <v>0</v>
      </c>
      <c r="S45" s="170">
        <f>IFERROR(VLOOKUP(C45,住宅ローン償還表!$C$17:$H$46,6,FALSE()),0)</f>
        <v>0</v>
      </c>
      <c r="T45" s="197">
        <f>(IF(ライフイベント表!F44="",0,IF(AND(ライフイベント表!F44&gt;=0,ライフイベント表!F44&lt;=5),支出計画!$D$24,IF(AND(ライフイベント表!F44&gt;=6,ライフイベント表!F44&lt;=11),支出計画!$D$25,IF(AND(ライフイベント表!F44&gt;=12,ライフイベント表!F44&lt;=14),支出計画!$D$26,IF(AND(ライフイベント表!F44&gt;=15,ライフイベント表!F44&lt;=17),支出計画!$D$27,IF(ライフイベント表!F44=18,支出計画!$D$28,IF(AND(ライフイベント表!F44&gt;=19,ライフイベント表!F44&lt;=21),支出計画!$D$29,0)))))))+IF(ライフイベント表!G44="",0,IF(AND(ライフイベント表!G44&gt;=0,ライフイベント表!G44&lt;=5),支出計画!$D$24,IF(AND(ライフイベント表!G44&gt;=6,ライフイベント表!G44&lt;=11),支出計画!$D$25,IF(AND(ライフイベント表!G44&gt;=12,ライフイベント表!G44&lt;=14),支出計画!$D$26,IF(AND(ライフイベント表!G44&gt;=15,ライフイベント表!G44&lt;=17),支出計画!$D$27,IF(ライフイベント表!G44=18,支出計画!$D$28,IF(AND(ライフイベント表!G44&gt;=19,ライフイベント表!G44&lt;=21),支出計画!$D$29,0)))))))+IF(ライフイベント表!H44="",0,IF(AND(ライフイベント表!H44&gt;=0,ライフイベント表!H44&lt;=5),支出計画!$D$24,IF(AND(ライフイベント表!H44&gt;=6,ライフイベント表!H44&lt;=11),支出計画!$D$25,IF(AND(ライフイベント表!H44&gt;=12,ライフイベント表!H44&lt;=14),支出計画!$D$26,IF(AND(ライフイベント表!H44&gt;=15,ライフイベント表!H44&lt;=17),支出計画!$D$27,IF(ライフイベント表!H44=18,支出計画!$D$28,IF(AND(ライフイベント表!H44&gt;=19,ライフイベント表!H44&lt;=21),支出計画!$D$29,0)))))))+IF(ライフイベント表!I44="",0,IF(AND(ライフイベント表!I44&gt;=0,ライフイベント表!I44&lt;=5),支出計画!$D$24,IF(AND(ライフイベント表!I44&gt;=6,ライフイベント表!I44&lt;=11),支出計画!$D$25,IF(AND(ライフイベント表!I44&gt;=12,ライフイベント表!I44&lt;=14),支出計画!$D$26,IF(AND(ライフイベント表!I44&gt;=15,ライフイベント表!I44&lt;=17),支出計画!$D$27,IF(ライフイベント表!I44=18,支出計画!$D$28,IF(AND(ライフイベント表!I44&gt;=19,ライフイベント表!I44&lt;=21),支出計画!$D$29,0)))))))+IF(ライフイベント表!J44="",0,IF(AND(ライフイベント表!J44&gt;=0,ライフイベント表!J44&lt;=5),支出計画!$D$24,IF(AND(ライフイベント表!J44&gt;=6,ライフイベント表!J44&lt;=11),支出計画!$D$25,IF(AND(ライフイベント表!J44&gt;=12,ライフイベント表!J44&lt;=14),支出計画!$D$26,IF(AND(ライフイベント表!J44&gt;=15,ライフイベント表!J44&lt;=17),支出計画!$D$27,IF(ライフイベント表!J44=18,支出計画!$D$28,IF(AND(ライフイベント表!J44&gt;=19,ライフイベント表!J44&lt;=21),支出計画!$D$29,0))))))))*POWER(1.02,B45-1)</f>
        <v>0</v>
      </c>
      <c r="U45" s="170">
        <f>SUMPRODUCT((保険!$G$5:$G$12&lt;=C45)*(保険!$H$5:$H$12&gt;=C45)*保険!$F$5:$F$12)</f>
        <v>7</v>
      </c>
      <c r="V45" s="170">
        <f>支出計画!$C$9</f>
        <v>36</v>
      </c>
      <c r="W45" s="170">
        <f>IF(AND(C45&gt;=支出計画!$D$35,C45&lt;=支出計画!$F$35,MOD(C45-支出計画!$D$35,支出計画!$E$35)=0),支出計画!$C$35,0)+IF(AND(C45&gt;=支出計画!$D$36,C45&lt;=支出計画!$F$36,MOD(C45-支出計画!$D$36,支出計画!$E$36)=0),支出計画!$C$36,0)+IF(C45=支出計画!$D$37,支出計画!$C$37,0)+IF(C45=支出計画!$D$38,支出計画!$C$38,0)</f>
        <v>0</v>
      </c>
      <c r="X45" s="172">
        <f t="shared" si="6"/>
        <v>258.09307444296383</v>
      </c>
      <c r="Y45" s="172">
        <f t="shared" si="7"/>
        <v>53.906925557036175</v>
      </c>
      <c r="Z45" s="172">
        <f>Z44*(1+金融資産!$C$15)+Y45</f>
        <v>355.35897146127542</v>
      </c>
      <c r="AA45" s="1"/>
      <c r="AB45" s="1"/>
    </row>
    <row r="46" spans="1:28" ht="15" customHeight="1">
      <c r="A46" s="1"/>
      <c r="B46" s="167">
        <v>42</v>
      </c>
      <c r="C46" s="168">
        <f>基本情報!$C$3+B46-1</f>
        <v>2063</v>
      </c>
      <c r="D46" s="200">
        <f>IF(基本情報!$D$6="","",C46-YEAR(基本情報!$D$6)-IF(OR(MONTH(基本情報!$D$6)&gt;1,DAY(基本情報!$D$6)&gt;1),1,0))</f>
        <v>76</v>
      </c>
      <c r="E46" s="168">
        <f>IF(基本情報!$D$7="","",C46-YEAR(基本情報!$D$7)-IF(OR(MONTH(基本情報!$D$7)&gt;1,DAY(基本情報!$D$7)&gt;1),1,0))</f>
        <v>75</v>
      </c>
      <c r="F46" s="169">
        <f>IF(OR(基本情報!$D$8="",C46&lt;=YEAR(基本情報!$D$8)),"",MAX(0,C46-YEAR(基本情報!$D$8)-IF(OR(MONTH(基本情報!$D$8)&gt;1,DAY(基本情報!$D$8)&gt;1),1,0)))</f>
        <v>44</v>
      </c>
      <c r="G46" s="169">
        <f>IF(OR(基本情報!$D$9="",C46&lt;=YEAR(基本情報!$D$9)),"",MAX(0,C46-YEAR(基本情報!$D$9)-IF(OR(MONTH(基本情報!$D$9)&gt;1,DAY(基本情報!$D$9)&gt;1),1,0)))</f>
        <v>42</v>
      </c>
      <c r="H46" s="169">
        <f>IF(OR(基本情報!$D$10="",C46&lt;=YEAR(基本情報!$D$10)),"",MAX(0,C46-YEAR(基本情報!$D$10)-IF(OR(MONTH(基本情報!$D$10)&gt;1,DAY(基本情報!$D$10)&gt;1),1,0)))</f>
        <v>35</v>
      </c>
      <c r="I46" s="169">
        <f>IF(OR(基本情報!$D$11="",C46&lt;=YEAR(基本情報!$D$11)),"",MAX(0,C46-YEAR(基本情報!$D$11)-IF(OR(MONTH(基本情報!$D$11)&gt;1,DAY(基本情報!$D$11)&gt;1),1,0)))</f>
        <v>33</v>
      </c>
      <c r="J46" s="169">
        <f>IF(OR(基本情報!$D$12="",C46&lt;=YEAR(基本情報!$D$12)),"",MAX(0,C46-YEAR(基本情報!$D$12)-IF(OR(MONTH(基本情報!$D$12)&gt;1,DAY(基本情報!$D$12)&gt;1),1,0)))</f>
        <v>31</v>
      </c>
      <c r="K46" s="197">
        <f>IF(D46="","",IF(D46&lt;基本情報!$C$15,MAX(0,収入計画!$D$5*(1+収入計画!$E$5)^(B46-1)),IF(AND(D46&gt;=基本情報!$C$15,D46&lt;基本情報!$C$20),MAX(0,基本情報!$C$19*(収入計画!$D$5/収入計画!$C$5)),0)))</f>
        <v>0</v>
      </c>
      <c r="L46" s="170">
        <f>IF(E46="","",IF(E46&lt;基本情報!$D$15,IF(E46&lt;MAX(収入計画!$C$11,収入計画!$C$14,収入計画!$C$17,収入計画!$C$20,収入計画!$C$23),MAX(0,収入計画!$D$6*0.5*(1+収入計画!$E$6)^(B46-1)),MAX(0,収入計画!$D$6*(1+収入計画!$E$6)^(B46-1))),IF(AND(E46&gt;=基本情報!$D$15,E46&lt;基本情報!$D$20),MAX(0,基本情報!$D$19*(収入計画!$D$6/収入計画!$C$6)),0)))</f>
        <v>0</v>
      </c>
      <c r="M46" s="170">
        <f>IF(OR(D46="",E46=""),"",IF(D46=基本情報!$C$15,基本情報!$C$16,0)+IF(E46=基本情報!$D$15,基本情報!$D$16,0))</f>
        <v>0</v>
      </c>
      <c r="N46" s="170">
        <f>IF(D46="","",IF(OR(D46&gt;=基本情報!$C$17,E46&gt;=基本情報!$D$17),MAX(0,IF(D46&gt;=基本情報!$C$17,基本情報!$C$18*12,0)+IF(AND(E46&lt;&gt;"",E46&gt;=基本情報!$D$17),基本情報!$D$18*12,0)),""))</f>
        <v>312</v>
      </c>
      <c r="O46" s="170">
        <f t="shared" si="4"/>
        <v>0</v>
      </c>
      <c r="P46" s="205">
        <f t="shared" si="5"/>
        <v>312</v>
      </c>
      <c r="Q46" s="171">
        <f>IF(D46&lt;基本情報!$C$17,支出計画!$C$5*(1+支出計画!$D$5)^(B46-1),支出計画!$C$6*(1+支出計画!$D$6)^(D46-基本情報!$C$17))-IF(AND(F46&gt;=22,F46&lt;&gt;""),支出計画!$C$45,0)</f>
        <v>213.83760907074898</v>
      </c>
      <c r="R46" s="170">
        <f>IF(C46&lt;住宅ローン償還表!$C$9,支出計画!$C$7,0)</f>
        <v>0</v>
      </c>
      <c r="S46" s="170">
        <f>IFERROR(VLOOKUP(C46,住宅ローン償還表!$C$17:$H$46,6,FALSE()),0)</f>
        <v>0</v>
      </c>
      <c r="T46" s="197">
        <f>(IF(ライフイベント表!F45="",0,IF(AND(ライフイベント表!F45&gt;=0,ライフイベント表!F45&lt;=5),支出計画!$D$24,IF(AND(ライフイベント表!F45&gt;=6,ライフイベント表!F45&lt;=11),支出計画!$D$25,IF(AND(ライフイベント表!F45&gt;=12,ライフイベント表!F45&lt;=14),支出計画!$D$26,IF(AND(ライフイベント表!F45&gt;=15,ライフイベント表!F45&lt;=17),支出計画!$D$27,IF(ライフイベント表!F45=18,支出計画!$D$28,IF(AND(ライフイベント表!F45&gt;=19,ライフイベント表!F45&lt;=21),支出計画!$D$29,0)))))))+IF(ライフイベント表!G45="",0,IF(AND(ライフイベント表!G45&gt;=0,ライフイベント表!G45&lt;=5),支出計画!$D$24,IF(AND(ライフイベント表!G45&gt;=6,ライフイベント表!G45&lt;=11),支出計画!$D$25,IF(AND(ライフイベント表!G45&gt;=12,ライフイベント表!G45&lt;=14),支出計画!$D$26,IF(AND(ライフイベント表!G45&gt;=15,ライフイベント表!G45&lt;=17),支出計画!$D$27,IF(ライフイベント表!G45=18,支出計画!$D$28,IF(AND(ライフイベント表!G45&gt;=19,ライフイベント表!G45&lt;=21),支出計画!$D$29,0)))))))+IF(ライフイベント表!H45="",0,IF(AND(ライフイベント表!H45&gt;=0,ライフイベント表!H45&lt;=5),支出計画!$D$24,IF(AND(ライフイベント表!H45&gt;=6,ライフイベント表!H45&lt;=11),支出計画!$D$25,IF(AND(ライフイベント表!H45&gt;=12,ライフイベント表!H45&lt;=14),支出計画!$D$26,IF(AND(ライフイベント表!H45&gt;=15,ライフイベント表!H45&lt;=17),支出計画!$D$27,IF(ライフイベント表!H45=18,支出計画!$D$28,IF(AND(ライフイベント表!H45&gt;=19,ライフイベント表!H45&lt;=21),支出計画!$D$29,0)))))))+IF(ライフイベント表!I45="",0,IF(AND(ライフイベント表!I45&gt;=0,ライフイベント表!I45&lt;=5),支出計画!$D$24,IF(AND(ライフイベント表!I45&gt;=6,ライフイベント表!I45&lt;=11),支出計画!$D$25,IF(AND(ライフイベント表!I45&gt;=12,ライフイベント表!I45&lt;=14),支出計画!$D$26,IF(AND(ライフイベント表!I45&gt;=15,ライフイベント表!I45&lt;=17),支出計画!$D$27,IF(ライフイベント表!I45=18,支出計画!$D$28,IF(AND(ライフイベント表!I45&gt;=19,ライフイベント表!I45&lt;=21),支出計画!$D$29,0)))))))+IF(ライフイベント表!J45="",0,IF(AND(ライフイベント表!J45&gt;=0,ライフイベント表!J45&lt;=5),支出計画!$D$24,IF(AND(ライフイベント表!J45&gt;=6,ライフイベント表!J45&lt;=11),支出計画!$D$25,IF(AND(ライフイベント表!J45&gt;=12,ライフイベント表!J45&lt;=14),支出計画!$D$26,IF(AND(ライフイベント表!J45&gt;=15,ライフイベント表!J45&lt;=17),支出計画!$D$27,IF(ライフイベント表!J45=18,支出計画!$D$28,IF(AND(ライフイベント表!J45&gt;=19,ライフイベント表!J45&lt;=21),支出計画!$D$29,0))))))))*POWER(1.02,B46-1)</f>
        <v>0</v>
      </c>
      <c r="U46" s="170">
        <f>SUMPRODUCT((保険!$G$5:$G$12&lt;=C46)*(保険!$H$5:$H$12&gt;=C46)*保険!$F$5:$F$12)</f>
        <v>7</v>
      </c>
      <c r="V46" s="170">
        <f>支出計画!$C$9</f>
        <v>36</v>
      </c>
      <c r="W46" s="170">
        <f>IF(AND(C46&gt;=支出計画!$D$35,C46&lt;=支出計画!$F$35,MOD(C46-支出計画!$D$35,支出計画!$E$35)=0),支出計画!$C$35,0)+IF(AND(C46&gt;=支出計画!$D$36,C46&lt;=支出計画!$F$36,MOD(C46-支出計画!$D$36,支出計画!$E$36)=0),支出計画!$C$36,0)+IF(C46=支出計画!$D$37,支出計画!$C$37,0)+IF(C46=支出計画!$D$38,支出計画!$C$38,0)</f>
        <v>0</v>
      </c>
      <c r="X46" s="172">
        <f t="shared" si="6"/>
        <v>256.83760907074895</v>
      </c>
      <c r="Y46" s="172">
        <f t="shared" si="7"/>
        <v>55.162390929251046</v>
      </c>
      <c r="Z46" s="172">
        <f>Z45*(1+金融資産!$C$15)+Y46</f>
        <v>412.29815724783282</v>
      </c>
      <c r="AA46" s="1"/>
      <c r="AB46" s="1"/>
    </row>
    <row r="47" spans="1:28" ht="15" customHeight="1">
      <c r="A47" s="1"/>
      <c r="B47" s="167">
        <v>43</v>
      </c>
      <c r="C47" s="168">
        <f>基本情報!$C$3+B47-1</f>
        <v>2064</v>
      </c>
      <c r="D47" s="200">
        <f>IF(基本情報!$D$6="","",C47-YEAR(基本情報!$D$6)-IF(OR(MONTH(基本情報!$D$6)&gt;1,DAY(基本情報!$D$6)&gt;1),1,0))</f>
        <v>77</v>
      </c>
      <c r="E47" s="168">
        <f>IF(基本情報!$D$7="","",C47-YEAR(基本情報!$D$7)-IF(OR(MONTH(基本情報!$D$7)&gt;1,DAY(基本情報!$D$7)&gt;1),1,0))</f>
        <v>76</v>
      </c>
      <c r="F47" s="169">
        <f>IF(OR(基本情報!$D$8="",C47&lt;=YEAR(基本情報!$D$8)),"",MAX(0,C47-YEAR(基本情報!$D$8)-IF(OR(MONTH(基本情報!$D$8)&gt;1,DAY(基本情報!$D$8)&gt;1),1,0)))</f>
        <v>45</v>
      </c>
      <c r="G47" s="169">
        <f>IF(OR(基本情報!$D$9="",C47&lt;=YEAR(基本情報!$D$9)),"",MAX(0,C47-YEAR(基本情報!$D$9)-IF(OR(MONTH(基本情報!$D$9)&gt;1,DAY(基本情報!$D$9)&gt;1),1,0)))</f>
        <v>43</v>
      </c>
      <c r="H47" s="169">
        <f>IF(OR(基本情報!$D$10="",C47&lt;=YEAR(基本情報!$D$10)),"",MAX(0,C47-YEAR(基本情報!$D$10)-IF(OR(MONTH(基本情報!$D$10)&gt;1,DAY(基本情報!$D$10)&gt;1),1,0)))</f>
        <v>36</v>
      </c>
      <c r="I47" s="169">
        <f>IF(OR(基本情報!$D$11="",C47&lt;=YEAR(基本情報!$D$11)),"",MAX(0,C47-YEAR(基本情報!$D$11)-IF(OR(MONTH(基本情報!$D$11)&gt;1,DAY(基本情報!$D$11)&gt;1),1,0)))</f>
        <v>34</v>
      </c>
      <c r="J47" s="169">
        <f>IF(OR(基本情報!$D$12="",C47&lt;=YEAR(基本情報!$D$12)),"",MAX(0,C47-YEAR(基本情報!$D$12)-IF(OR(MONTH(基本情報!$D$12)&gt;1,DAY(基本情報!$D$12)&gt;1),1,0)))</f>
        <v>32</v>
      </c>
      <c r="K47" s="197">
        <f>IF(D47="","",IF(D47&lt;基本情報!$C$15,MAX(0,収入計画!$D$5*(1+収入計画!$E$5)^(B47-1)),IF(AND(D47&gt;=基本情報!$C$15,D47&lt;基本情報!$C$20),MAX(0,基本情報!$C$19*(収入計画!$D$5/収入計画!$C$5)),0)))</f>
        <v>0</v>
      </c>
      <c r="L47" s="170">
        <f>IF(E47="","",IF(E47&lt;基本情報!$D$15,IF(E47&lt;MAX(収入計画!$C$11,収入計画!$C$14,収入計画!$C$17,収入計画!$C$20,収入計画!$C$23),MAX(0,収入計画!$D$6*0.5*(1+収入計画!$E$6)^(B47-1)),MAX(0,収入計画!$D$6*(1+収入計画!$E$6)^(B47-1))),IF(AND(E47&gt;=基本情報!$D$15,E47&lt;基本情報!$D$20),MAX(0,基本情報!$D$19*(収入計画!$D$6/収入計画!$C$6)),0)))</f>
        <v>0</v>
      </c>
      <c r="M47" s="170">
        <f>IF(OR(D47="",E47=""),"",IF(D47=基本情報!$C$15,基本情報!$C$16,0)+IF(E47=基本情報!$D$15,基本情報!$D$16,0))</f>
        <v>0</v>
      </c>
      <c r="N47" s="170">
        <f>IF(D47="","",IF(OR(D47&gt;=基本情報!$C$17,E47&gt;=基本情報!$D$17),MAX(0,IF(D47&gt;=基本情報!$C$17,基本情報!$C$18*12,0)+IF(AND(E47&lt;&gt;"",E47&gt;=基本情報!$D$17),基本情報!$D$18*12,0)),""))</f>
        <v>312</v>
      </c>
      <c r="O47" s="170">
        <f t="shared" si="4"/>
        <v>0</v>
      </c>
      <c r="P47" s="205">
        <f t="shared" si="5"/>
        <v>312</v>
      </c>
      <c r="Q47" s="171">
        <f>IF(D47&lt;基本情報!$C$17,支出計画!$C$5*(1+支出計画!$D$5)^(B47-1),支出計画!$C$6*(1+支出計画!$D$6)^(D47-基本情報!$C$17))-IF(AND(F47&gt;=22,F47&lt;&gt;""),支出計画!$C$45,0)</f>
        <v>212.58842102539523</v>
      </c>
      <c r="R47" s="170">
        <f>IF(C47&lt;住宅ローン償還表!$C$9,支出計画!$C$7,0)</f>
        <v>0</v>
      </c>
      <c r="S47" s="170">
        <f>IFERROR(VLOOKUP(C47,住宅ローン償還表!$C$17:$H$46,6,FALSE()),0)</f>
        <v>0</v>
      </c>
      <c r="T47" s="197">
        <f>(IF(ライフイベント表!F46="",0,IF(AND(ライフイベント表!F46&gt;=0,ライフイベント表!F46&lt;=5),支出計画!$D$24,IF(AND(ライフイベント表!F46&gt;=6,ライフイベント表!F46&lt;=11),支出計画!$D$25,IF(AND(ライフイベント表!F46&gt;=12,ライフイベント表!F46&lt;=14),支出計画!$D$26,IF(AND(ライフイベント表!F46&gt;=15,ライフイベント表!F46&lt;=17),支出計画!$D$27,IF(ライフイベント表!F46=18,支出計画!$D$28,IF(AND(ライフイベント表!F46&gt;=19,ライフイベント表!F46&lt;=21),支出計画!$D$29,0)))))))+IF(ライフイベント表!G46="",0,IF(AND(ライフイベント表!G46&gt;=0,ライフイベント表!G46&lt;=5),支出計画!$D$24,IF(AND(ライフイベント表!G46&gt;=6,ライフイベント表!G46&lt;=11),支出計画!$D$25,IF(AND(ライフイベント表!G46&gt;=12,ライフイベント表!G46&lt;=14),支出計画!$D$26,IF(AND(ライフイベント表!G46&gt;=15,ライフイベント表!G46&lt;=17),支出計画!$D$27,IF(ライフイベント表!G46=18,支出計画!$D$28,IF(AND(ライフイベント表!G46&gt;=19,ライフイベント表!G46&lt;=21),支出計画!$D$29,0)))))))+IF(ライフイベント表!H46="",0,IF(AND(ライフイベント表!H46&gt;=0,ライフイベント表!H46&lt;=5),支出計画!$D$24,IF(AND(ライフイベント表!H46&gt;=6,ライフイベント表!H46&lt;=11),支出計画!$D$25,IF(AND(ライフイベント表!H46&gt;=12,ライフイベント表!H46&lt;=14),支出計画!$D$26,IF(AND(ライフイベント表!H46&gt;=15,ライフイベント表!H46&lt;=17),支出計画!$D$27,IF(ライフイベント表!H46=18,支出計画!$D$28,IF(AND(ライフイベント表!H46&gt;=19,ライフイベント表!H46&lt;=21),支出計画!$D$29,0)))))))+IF(ライフイベント表!I46="",0,IF(AND(ライフイベント表!I46&gt;=0,ライフイベント表!I46&lt;=5),支出計画!$D$24,IF(AND(ライフイベント表!I46&gt;=6,ライフイベント表!I46&lt;=11),支出計画!$D$25,IF(AND(ライフイベント表!I46&gt;=12,ライフイベント表!I46&lt;=14),支出計画!$D$26,IF(AND(ライフイベント表!I46&gt;=15,ライフイベント表!I46&lt;=17),支出計画!$D$27,IF(ライフイベント表!I46=18,支出計画!$D$28,IF(AND(ライフイベント表!I46&gt;=19,ライフイベント表!I46&lt;=21),支出計画!$D$29,0)))))))+IF(ライフイベント表!J46="",0,IF(AND(ライフイベント表!J46&gt;=0,ライフイベント表!J46&lt;=5),支出計画!$D$24,IF(AND(ライフイベント表!J46&gt;=6,ライフイベント表!J46&lt;=11),支出計画!$D$25,IF(AND(ライフイベント表!J46&gt;=12,ライフイベント表!J46&lt;=14),支出計画!$D$26,IF(AND(ライフイベント表!J46&gt;=15,ライフイベント表!J46&lt;=17),支出計画!$D$27,IF(ライフイベント表!J46=18,支出計画!$D$28,IF(AND(ライフイベント表!J46&gt;=19,ライフイベント表!J46&lt;=21),支出計画!$D$29,0))))))))*POWER(1.02,B47-1)</f>
        <v>0</v>
      </c>
      <c r="U47" s="170">
        <f>SUMPRODUCT((保険!$G$5:$G$12&lt;=C47)*(保険!$H$5:$H$12&gt;=C47)*保険!$F$5:$F$12)</f>
        <v>7</v>
      </c>
      <c r="V47" s="170">
        <f>支出計画!$C$9</f>
        <v>36</v>
      </c>
      <c r="W47" s="170">
        <f>IF(AND(C47&gt;=支出計画!$D$35,C47&lt;=支出計画!$F$35,MOD(C47-支出計画!$D$35,支出計画!$E$35)=0),支出計画!$C$35,0)+IF(AND(C47&gt;=支出計画!$D$36,C47&lt;=支出計画!$F$36,MOD(C47-支出計画!$D$36,支出計画!$E$36)=0),支出計画!$C$36,0)+IF(C47=支出計画!$D$37,支出計画!$C$37,0)+IF(C47=支出計画!$D$38,支出計画!$C$38,0)</f>
        <v>0</v>
      </c>
      <c r="X47" s="172">
        <f t="shared" si="6"/>
        <v>255.58842102539523</v>
      </c>
      <c r="Y47" s="172">
        <f t="shared" si="7"/>
        <v>56.411578974604765</v>
      </c>
      <c r="Z47" s="172">
        <f>Z46*(1+金融資産!$C$15)+Y47</f>
        <v>470.7712270086767</v>
      </c>
      <c r="AA47" s="1"/>
      <c r="AB47" s="1"/>
    </row>
    <row r="48" spans="1:28" ht="15" customHeight="1">
      <c r="A48" s="1"/>
      <c r="B48" s="167">
        <v>44</v>
      </c>
      <c r="C48" s="168">
        <f>基本情報!$C$3+B48-1</f>
        <v>2065</v>
      </c>
      <c r="D48" s="200">
        <f>IF(基本情報!$D$6="","",C48-YEAR(基本情報!$D$6)-IF(OR(MONTH(基本情報!$D$6)&gt;1,DAY(基本情報!$D$6)&gt;1),1,0))</f>
        <v>78</v>
      </c>
      <c r="E48" s="168">
        <f>IF(基本情報!$D$7="","",C48-YEAR(基本情報!$D$7)-IF(OR(MONTH(基本情報!$D$7)&gt;1,DAY(基本情報!$D$7)&gt;1),1,0))</f>
        <v>77</v>
      </c>
      <c r="F48" s="169">
        <f>IF(OR(基本情報!$D$8="",C48&lt;=YEAR(基本情報!$D$8)),"",MAX(0,C48-YEAR(基本情報!$D$8)-IF(OR(MONTH(基本情報!$D$8)&gt;1,DAY(基本情報!$D$8)&gt;1),1,0)))</f>
        <v>46</v>
      </c>
      <c r="G48" s="169">
        <f>IF(OR(基本情報!$D$9="",C48&lt;=YEAR(基本情報!$D$9)),"",MAX(0,C48-YEAR(基本情報!$D$9)-IF(OR(MONTH(基本情報!$D$9)&gt;1,DAY(基本情報!$D$9)&gt;1),1,0)))</f>
        <v>44</v>
      </c>
      <c r="H48" s="169">
        <f>IF(OR(基本情報!$D$10="",C48&lt;=YEAR(基本情報!$D$10)),"",MAX(0,C48-YEAR(基本情報!$D$10)-IF(OR(MONTH(基本情報!$D$10)&gt;1,DAY(基本情報!$D$10)&gt;1),1,0)))</f>
        <v>37</v>
      </c>
      <c r="I48" s="169">
        <f>IF(OR(基本情報!$D$11="",C48&lt;=YEAR(基本情報!$D$11)),"",MAX(0,C48-YEAR(基本情報!$D$11)-IF(OR(MONTH(基本情報!$D$11)&gt;1,DAY(基本情報!$D$11)&gt;1),1,0)))</f>
        <v>35</v>
      </c>
      <c r="J48" s="169">
        <f>IF(OR(基本情報!$D$12="",C48&lt;=YEAR(基本情報!$D$12)),"",MAX(0,C48-YEAR(基本情報!$D$12)-IF(OR(MONTH(基本情報!$D$12)&gt;1,DAY(基本情報!$D$12)&gt;1),1,0)))</f>
        <v>33</v>
      </c>
      <c r="K48" s="197">
        <f>IF(D48="","",IF(D48&lt;基本情報!$C$15,MAX(0,収入計画!$D$5*(1+収入計画!$E$5)^(B48-1)),IF(AND(D48&gt;=基本情報!$C$15,D48&lt;基本情報!$C$20),MAX(0,基本情報!$C$19*(収入計画!$D$5/収入計画!$C$5)),0)))</f>
        <v>0</v>
      </c>
      <c r="L48" s="170">
        <f>IF(E48="","",IF(E48&lt;基本情報!$D$15,IF(E48&lt;MAX(収入計画!$C$11,収入計画!$C$14,収入計画!$C$17,収入計画!$C$20,収入計画!$C$23),MAX(0,収入計画!$D$6*0.5*(1+収入計画!$E$6)^(B48-1)),MAX(0,収入計画!$D$6*(1+収入計画!$E$6)^(B48-1))),IF(AND(E48&gt;=基本情報!$D$15,E48&lt;基本情報!$D$20),MAX(0,基本情報!$D$19*(収入計画!$D$6/収入計画!$C$6)),0)))</f>
        <v>0</v>
      </c>
      <c r="M48" s="170">
        <f>IF(OR(D48="",E48=""),"",IF(D48=基本情報!$C$15,基本情報!$C$16,0)+IF(E48=基本情報!$D$15,基本情報!$D$16,0))</f>
        <v>0</v>
      </c>
      <c r="N48" s="170">
        <f>IF(D48="","",IF(OR(D48&gt;=基本情報!$C$17,E48&gt;=基本情報!$D$17),MAX(0,IF(D48&gt;=基本情報!$C$17,基本情報!$C$18*12,0)+IF(AND(E48&lt;&gt;"",E48&gt;=基本情報!$D$17),基本情報!$D$18*12,0)),""))</f>
        <v>312</v>
      </c>
      <c r="O48" s="170">
        <f t="shared" si="4"/>
        <v>0</v>
      </c>
      <c r="P48" s="205">
        <f t="shared" si="5"/>
        <v>312</v>
      </c>
      <c r="Q48" s="171">
        <f>IF(D48&lt;基本情報!$C$17,支出計画!$C$5*(1+支出計画!$D$5)^(B48-1),支出計画!$C$6*(1+支出計画!$D$6)^(D48-基本情報!$C$17))-IF(AND(F48&gt;=22,F48&lt;&gt;""),支出計画!$C$45,0)</f>
        <v>211.34547892026828</v>
      </c>
      <c r="R48" s="170">
        <f>IF(C48&lt;住宅ローン償還表!$C$9,支出計画!$C$7,0)</f>
        <v>0</v>
      </c>
      <c r="S48" s="170">
        <f>IFERROR(VLOOKUP(C48,住宅ローン償還表!$C$17:$H$46,6,FALSE()),0)</f>
        <v>0</v>
      </c>
      <c r="T48" s="197">
        <f>(IF(ライフイベント表!F47="",0,IF(AND(ライフイベント表!F47&gt;=0,ライフイベント表!F47&lt;=5),支出計画!$D$24,IF(AND(ライフイベント表!F47&gt;=6,ライフイベント表!F47&lt;=11),支出計画!$D$25,IF(AND(ライフイベント表!F47&gt;=12,ライフイベント表!F47&lt;=14),支出計画!$D$26,IF(AND(ライフイベント表!F47&gt;=15,ライフイベント表!F47&lt;=17),支出計画!$D$27,IF(ライフイベント表!F47=18,支出計画!$D$28,IF(AND(ライフイベント表!F47&gt;=19,ライフイベント表!F47&lt;=21),支出計画!$D$29,0)))))))+IF(ライフイベント表!G47="",0,IF(AND(ライフイベント表!G47&gt;=0,ライフイベント表!G47&lt;=5),支出計画!$D$24,IF(AND(ライフイベント表!G47&gt;=6,ライフイベント表!G47&lt;=11),支出計画!$D$25,IF(AND(ライフイベント表!G47&gt;=12,ライフイベント表!G47&lt;=14),支出計画!$D$26,IF(AND(ライフイベント表!G47&gt;=15,ライフイベント表!G47&lt;=17),支出計画!$D$27,IF(ライフイベント表!G47=18,支出計画!$D$28,IF(AND(ライフイベント表!G47&gt;=19,ライフイベント表!G47&lt;=21),支出計画!$D$29,0)))))))+IF(ライフイベント表!H47="",0,IF(AND(ライフイベント表!H47&gt;=0,ライフイベント表!H47&lt;=5),支出計画!$D$24,IF(AND(ライフイベント表!H47&gt;=6,ライフイベント表!H47&lt;=11),支出計画!$D$25,IF(AND(ライフイベント表!H47&gt;=12,ライフイベント表!H47&lt;=14),支出計画!$D$26,IF(AND(ライフイベント表!H47&gt;=15,ライフイベント表!H47&lt;=17),支出計画!$D$27,IF(ライフイベント表!H47=18,支出計画!$D$28,IF(AND(ライフイベント表!H47&gt;=19,ライフイベント表!H47&lt;=21),支出計画!$D$29,0)))))))+IF(ライフイベント表!I47="",0,IF(AND(ライフイベント表!I47&gt;=0,ライフイベント表!I47&lt;=5),支出計画!$D$24,IF(AND(ライフイベント表!I47&gt;=6,ライフイベント表!I47&lt;=11),支出計画!$D$25,IF(AND(ライフイベント表!I47&gt;=12,ライフイベント表!I47&lt;=14),支出計画!$D$26,IF(AND(ライフイベント表!I47&gt;=15,ライフイベント表!I47&lt;=17),支出計画!$D$27,IF(ライフイベント表!I47=18,支出計画!$D$28,IF(AND(ライフイベント表!I47&gt;=19,ライフイベント表!I47&lt;=21),支出計画!$D$29,0)))))))+IF(ライフイベント表!J47="",0,IF(AND(ライフイベント表!J47&gt;=0,ライフイベント表!J47&lt;=5),支出計画!$D$24,IF(AND(ライフイベント表!J47&gt;=6,ライフイベント表!J47&lt;=11),支出計画!$D$25,IF(AND(ライフイベント表!J47&gt;=12,ライフイベント表!J47&lt;=14),支出計画!$D$26,IF(AND(ライフイベント表!J47&gt;=15,ライフイベント表!J47&lt;=17),支出計画!$D$27,IF(ライフイベント表!J47=18,支出計画!$D$28,IF(AND(ライフイベント表!J47&gt;=19,ライフイベント表!J47&lt;=21),支出計画!$D$29,0))))))))*POWER(1.02,B48-1)</f>
        <v>0</v>
      </c>
      <c r="U48" s="170">
        <f>SUMPRODUCT((保険!$G$5:$G$12&lt;=C48)*(保険!$H$5:$H$12&gt;=C48)*保険!$F$5:$F$12)</f>
        <v>7</v>
      </c>
      <c r="V48" s="170">
        <f>支出計画!$C$9</f>
        <v>36</v>
      </c>
      <c r="W48" s="170">
        <f>IF(AND(C48&gt;=支出計画!$D$35,C48&lt;=支出計画!$F$35,MOD(C48-支出計画!$D$35,支出計画!$E$35)=0),支出計画!$C$35,0)+IF(AND(C48&gt;=支出計画!$D$36,C48&lt;=支出計画!$F$36,MOD(C48-支出計画!$D$36,支出計画!$E$36)=0),支出計画!$C$36,0)+IF(C48=支出計画!$D$37,支出計画!$C$37,0)+IF(C48=支出計画!$D$38,支出計画!$C$38,0)</f>
        <v>0</v>
      </c>
      <c r="X48" s="172">
        <f t="shared" si="6"/>
        <v>254.34547892026828</v>
      </c>
      <c r="Y48" s="172">
        <f t="shared" si="7"/>
        <v>57.654521079731722</v>
      </c>
      <c r="Z48" s="172">
        <f>Z47*(1+金融資産!$C$15)+Y48</f>
        <v>530.77960422345177</v>
      </c>
      <c r="AA48" s="1"/>
      <c r="AB48" s="1"/>
    </row>
    <row r="49" spans="1:28" ht="15" customHeight="1">
      <c r="A49" s="1"/>
      <c r="B49" s="167">
        <v>45</v>
      </c>
      <c r="C49" s="168">
        <f>基本情報!$C$3+B49-1</f>
        <v>2066</v>
      </c>
      <c r="D49" s="200">
        <f>IF(基本情報!$D$6="","",C49-YEAR(基本情報!$D$6)-IF(OR(MONTH(基本情報!$D$6)&gt;1,DAY(基本情報!$D$6)&gt;1),1,0))</f>
        <v>79</v>
      </c>
      <c r="E49" s="168">
        <f>IF(基本情報!$D$7="","",C49-YEAR(基本情報!$D$7)-IF(OR(MONTH(基本情報!$D$7)&gt;1,DAY(基本情報!$D$7)&gt;1),1,0))</f>
        <v>78</v>
      </c>
      <c r="F49" s="169">
        <f>IF(OR(基本情報!$D$8="",C49&lt;=YEAR(基本情報!$D$8)),"",MAX(0,C49-YEAR(基本情報!$D$8)-IF(OR(MONTH(基本情報!$D$8)&gt;1,DAY(基本情報!$D$8)&gt;1),1,0)))</f>
        <v>47</v>
      </c>
      <c r="G49" s="169">
        <f>IF(OR(基本情報!$D$9="",C49&lt;=YEAR(基本情報!$D$9)),"",MAX(0,C49-YEAR(基本情報!$D$9)-IF(OR(MONTH(基本情報!$D$9)&gt;1,DAY(基本情報!$D$9)&gt;1),1,0)))</f>
        <v>45</v>
      </c>
      <c r="H49" s="169">
        <f>IF(OR(基本情報!$D$10="",C49&lt;=YEAR(基本情報!$D$10)),"",MAX(0,C49-YEAR(基本情報!$D$10)-IF(OR(MONTH(基本情報!$D$10)&gt;1,DAY(基本情報!$D$10)&gt;1),1,0)))</f>
        <v>38</v>
      </c>
      <c r="I49" s="169">
        <f>IF(OR(基本情報!$D$11="",C49&lt;=YEAR(基本情報!$D$11)),"",MAX(0,C49-YEAR(基本情報!$D$11)-IF(OR(MONTH(基本情報!$D$11)&gt;1,DAY(基本情報!$D$11)&gt;1),1,0)))</f>
        <v>36</v>
      </c>
      <c r="J49" s="169">
        <f>IF(OR(基本情報!$D$12="",C49&lt;=YEAR(基本情報!$D$12)),"",MAX(0,C49-YEAR(基本情報!$D$12)-IF(OR(MONTH(基本情報!$D$12)&gt;1,DAY(基本情報!$D$12)&gt;1),1,0)))</f>
        <v>34</v>
      </c>
      <c r="K49" s="197">
        <f>IF(D49="","",IF(D49&lt;基本情報!$C$15,MAX(0,収入計画!$D$5*(1+収入計画!$E$5)^(B49-1)),IF(AND(D49&gt;=基本情報!$C$15,D49&lt;基本情報!$C$20),MAX(0,基本情報!$C$19*(収入計画!$D$5/収入計画!$C$5)),0)))</f>
        <v>0</v>
      </c>
      <c r="L49" s="170">
        <f>IF(E49="","",IF(E49&lt;基本情報!$D$15,IF(E49&lt;MAX(収入計画!$C$11,収入計画!$C$14,収入計画!$C$17,収入計画!$C$20,収入計画!$C$23),MAX(0,収入計画!$D$6*0.5*(1+収入計画!$E$6)^(B49-1)),MAX(0,収入計画!$D$6*(1+収入計画!$E$6)^(B49-1))),IF(AND(E49&gt;=基本情報!$D$15,E49&lt;基本情報!$D$20),MAX(0,基本情報!$D$19*(収入計画!$D$6/収入計画!$C$6)),0)))</f>
        <v>0</v>
      </c>
      <c r="M49" s="170">
        <f>IF(OR(D49="",E49=""),"",IF(D49=基本情報!$C$15,基本情報!$C$16,0)+IF(E49=基本情報!$D$15,基本情報!$D$16,0))</f>
        <v>0</v>
      </c>
      <c r="N49" s="170">
        <f>IF(D49="","",IF(OR(D49&gt;=基本情報!$C$17,E49&gt;=基本情報!$D$17),MAX(0,IF(D49&gt;=基本情報!$C$17,基本情報!$C$18*12,0)+IF(AND(E49&lt;&gt;"",E49&gt;=基本情報!$D$17),基本情報!$D$18*12,0)),""))</f>
        <v>312</v>
      </c>
      <c r="O49" s="170">
        <f t="shared" si="4"/>
        <v>0</v>
      </c>
      <c r="P49" s="205">
        <f t="shared" si="5"/>
        <v>312</v>
      </c>
      <c r="Q49" s="171">
        <f>IF(D49&lt;基本情報!$C$17,支出計画!$C$5*(1+支出計画!$D$5)^(B49-1),支出計画!$C$6*(1+支出計画!$D$6)^(D49-基本情報!$C$17))-IF(AND(F49&gt;=22,F49&lt;&gt;""),支出計画!$C$45,0)</f>
        <v>210.10875152566695</v>
      </c>
      <c r="R49" s="170">
        <f>IF(C49&lt;住宅ローン償還表!$C$9,支出計画!$C$7,0)</f>
        <v>0</v>
      </c>
      <c r="S49" s="170">
        <f>IFERROR(VLOOKUP(C49,住宅ローン償還表!$C$17:$H$46,6,FALSE()),0)</f>
        <v>0</v>
      </c>
      <c r="T49" s="197">
        <f>(IF(ライフイベント表!F48="",0,IF(AND(ライフイベント表!F48&gt;=0,ライフイベント表!F48&lt;=5),支出計画!$D$24,IF(AND(ライフイベント表!F48&gt;=6,ライフイベント表!F48&lt;=11),支出計画!$D$25,IF(AND(ライフイベント表!F48&gt;=12,ライフイベント表!F48&lt;=14),支出計画!$D$26,IF(AND(ライフイベント表!F48&gt;=15,ライフイベント表!F48&lt;=17),支出計画!$D$27,IF(ライフイベント表!F48=18,支出計画!$D$28,IF(AND(ライフイベント表!F48&gt;=19,ライフイベント表!F48&lt;=21),支出計画!$D$29,0)))))))+IF(ライフイベント表!G48="",0,IF(AND(ライフイベント表!G48&gt;=0,ライフイベント表!G48&lt;=5),支出計画!$D$24,IF(AND(ライフイベント表!G48&gt;=6,ライフイベント表!G48&lt;=11),支出計画!$D$25,IF(AND(ライフイベント表!G48&gt;=12,ライフイベント表!G48&lt;=14),支出計画!$D$26,IF(AND(ライフイベント表!G48&gt;=15,ライフイベント表!G48&lt;=17),支出計画!$D$27,IF(ライフイベント表!G48=18,支出計画!$D$28,IF(AND(ライフイベント表!G48&gt;=19,ライフイベント表!G48&lt;=21),支出計画!$D$29,0)))))))+IF(ライフイベント表!H48="",0,IF(AND(ライフイベント表!H48&gt;=0,ライフイベント表!H48&lt;=5),支出計画!$D$24,IF(AND(ライフイベント表!H48&gt;=6,ライフイベント表!H48&lt;=11),支出計画!$D$25,IF(AND(ライフイベント表!H48&gt;=12,ライフイベント表!H48&lt;=14),支出計画!$D$26,IF(AND(ライフイベント表!H48&gt;=15,ライフイベント表!H48&lt;=17),支出計画!$D$27,IF(ライフイベント表!H48=18,支出計画!$D$28,IF(AND(ライフイベント表!H48&gt;=19,ライフイベント表!H48&lt;=21),支出計画!$D$29,0)))))))+IF(ライフイベント表!I48="",0,IF(AND(ライフイベント表!I48&gt;=0,ライフイベント表!I48&lt;=5),支出計画!$D$24,IF(AND(ライフイベント表!I48&gt;=6,ライフイベント表!I48&lt;=11),支出計画!$D$25,IF(AND(ライフイベント表!I48&gt;=12,ライフイベント表!I48&lt;=14),支出計画!$D$26,IF(AND(ライフイベント表!I48&gt;=15,ライフイベント表!I48&lt;=17),支出計画!$D$27,IF(ライフイベント表!I48=18,支出計画!$D$28,IF(AND(ライフイベント表!I48&gt;=19,ライフイベント表!I48&lt;=21),支出計画!$D$29,0)))))))+IF(ライフイベント表!J48="",0,IF(AND(ライフイベント表!J48&gt;=0,ライフイベント表!J48&lt;=5),支出計画!$D$24,IF(AND(ライフイベント表!J48&gt;=6,ライフイベント表!J48&lt;=11),支出計画!$D$25,IF(AND(ライフイベント表!J48&gt;=12,ライフイベント表!J48&lt;=14),支出計画!$D$26,IF(AND(ライフイベント表!J48&gt;=15,ライフイベント表!J48&lt;=17),支出計画!$D$27,IF(ライフイベント表!J48=18,支出計画!$D$28,IF(AND(ライフイベント表!J48&gt;=19,ライフイベント表!J48&lt;=21),支出計画!$D$29,0))))))))*POWER(1.02,B49-1)</f>
        <v>0</v>
      </c>
      <c r="U49" s="170">
        <f>SUMPRODUCT((保険!$G$5:$G$12&lt;=C49)*(保険!$H$5:$H$12&gt;=C49)*保険!$F$5:$F$12)</f>
        <v>7</v>
      </c>
      <c r="V49" s="170">
        <f>支出計画!$C$9</f>
        <v>36</v>
      </c>
      <c r="W49" s="170">
        <f>IF(AND(C49&gt;=支出計画!$D$35,C49&lt;=支出計画!$F$35,MOD(C49-支出計画!$D$35,支出計画!$E$35)=0),支出計画!$C$35,0)+IF(AND(C49&gt;=支出計画!$D$36,C49&lt;=支出計画!$F$36,MOD(C49-支出計画!$D$36,支出計画!$E$36)=0),支出計画!$C$36,0)+IF(C49=支出計画!$D$37,支出計画!$C$37,0)+IF(C49=支出計画!$D$38,支出計画!$C$38,0)</f>
        <v>200</v>
      </c>
      <c r="X49" s="172">
        <f t="shared" si="6"/>
        <v>453.10875152566695</v>
      </c>
      <c r="Y49" s="172">
        <f t="shared" si="7"/>
        <v>-141.10875152566695</v>
      </c>
      <c r="Z49" s="172">
        <f>Z48*(1+金融資産!$C$15)+Y49</f>
        <v>392.32475071890207</v>
      </c>
      <c r="AA49" s="1"/>
      <c r="AB49" s="1"/>
    </row>
    <row r="50" spans="1:28" ht="15" customHeight="1">
      <c r="A50" s="1"/>
      <c r="B50" s="167">
        <v>46</v>
      </c>
      <c r="C50" s="168">
        <f>基本情報!$C$3+B50-1</f>
        <v>2067</v>
      </c>
      <c r="D50" s="200">
        <f>IF(基本情報!$D$6="","",C50-YEAR(基本情報!$D$6)-IF(OR(MONTH(基本情報!$D$6)&gt;1,DAY(基本情報!$D$6)&gt;1),1,0))</f>
        <v>80</v>
      </c>
      <c r="E50" s="168">
        <f>IF(基本情報!$D$7="","",C50-YEAR(基本情報!$D$7)-IF(OR(MONTH(基本情報!$D$7)&gt;1,DAY(基本情報!$D$7)&gt;1),1,0))</f>
        <v>79</v>
      </c>
      <c r="F50" s="169">
        <f>IF(OR(基本情報!$D$8="",C50&lt;=YEAR(基本情報!$D$8)),"",MAX(0,C50-YEAR(基本情報!$D$8)-IF(OR(MONTH(基本情報!$D$8)&gt;1,DAY(基本情報!$D$8)&gt;1),1,0)))</f>
        <v>48</v>
      </c>
      <c r="G50" s="169">
        <f>IF(OR(基本情報!$D$9="",C50&lt;=YEAR(基本情報!$D$9)),"",MAX(0,C50-YEAR(基本情報!$D$9)-IF(OR(MONTH(基本情報!$D$9)&gt;1,DAY(基本情報!$D$9)&gt;1),1,0)))</f>
        <v>46</v>
      </c>
      <c r="H50" s="169">
        <f>IF(OR(基本情報!$D$10="",C50&lt;=YEAR(基本情報!$D$10)),"",MAX(0,C50-YEAR(基本情報!$D$10)-IF(OR(MONTH(基本情報!$D$10)&gt;1,DAY(基本情報!$D$10)&gt;1),1,0)))</f>
        <v>39</v>
      </c>
      <c r="I50" s="169">
        <f>IF(OR(基本情報!$D$11="",C50&lt;=YEAR(基本情報!$D$11)),"",MAX(0,C50-YEAR(基本情報!$D$11)-IF(OR(MONTH(基本情報!$D$11)&gt;1,DAY(基本情報!$D$11)&gt;1),1,0)))</f>
        <v>37</v>
      </c>
      <c r="J50" s="169">
        <f>IF(OR(基本情報!$D$12="",C50&lt;=YEAR(基本情報!$D$12)),"",MAX(0,C50-YEAR(基本情報!$D$12)-IF(OR(MONTH(基本情報!$D$12)&gt;1,DAY(基本情報!$D$12)&gt;1),1,0)))</f>
        <v>35</v>
      </c>
      <c r="K50" s="197">
        <f>IF(D50="","",IF(D50&lt;基本情報!$C$15,MAX(0,収入計画!$D$5*(1+収入計画!$E$5)^(B50-1)),IF(AND(D50&gt;=基本情報!$C$15,D50&lt;基本情報!$C$20),MAX(0,基本情報!$C$19*(収入計画!$D$5/収入計画!$C$5)),0)))</f>
        <v>0</v>
      </c>
      <c r="L50" s="170">
        <f>IF(E50="","",IF(E50&lt;基本情報!$D$15,IF(E50&lt;MAX(収入計画!$C$11,収入計画!$C$14,収入計画!$C$17,収入計画!$C$20,収入計画!$C$23),MAX(0,収入計画!$D$6*0.5*(1+収入計画!$E$6)^(B50-1)),MAX(0,収入計画!$D$6*(1+収入計画!$E$6)^(B50-1))),IF(AND(E50&gt;=基本情報!$D$15,E50&lt;基本情報!$D$20),MAX(0,基本情報!$D$19*(収入計画!$D$6/収入計画!$C$6)),0)))</f>
        <v>0</v>
      </c>
      <c r="M50" s="170">
        <f>IF(OR(D50="",E50=""),"",IF(D50=基本情報!$C$15,基本情報!$C$16,0)+IF(E50=基本情報!$D$15,基本情報!$D$16,0))</f>
        <v>0</v>
      </c>
      <c r="N50" s="170">
        <f>IF(D50="","",IF(OR(D50&gt;=基本情報!$C$17,E50&gt;=基本情報!$D$17),MAX(0,IF(D50&gt;=基本情報!$C$17,基本情報!$C$18*12,0)+IF(AND(E50&lt;&gt;"",E50&gt;=基本情報!$D$17),基本情報!$D$18*12,0)),""))</f>
        <v>312</v>
      </c>
      <c r="O50" s="170">
        <f t="shared" si="4"/>
        <v>0</v>
      </c>
      <c r="P50" s="205">
        <f t="shared" si="5"/>
        <v>312</v>
      </c>
      <c r="Q50" s="171">
        <f>IF(D50&lt;基本情報!$C$17,支出計画!$C$5*(1+支出計画!$D$5)^(B50-1),支出計画!$C$6*(1+支出計画!$D$6)^(D50-基本情報!$C$17))-IF(AND(F50&gt;=22,F50&lt;&gt;""),支出計画!$C$45,0)</f>
        <v>208.87820776803861</v>
      </c>
      <c r="R50" s="170">
        <f>IF(C50&lt;住宅ローン償還表!$C$9,支出計画!$C$7,0)</f>
        <v>0</v>
      </c>
      <c r="S50" s="170">
        <f>IFERROR(VLOOKUP(C50,住宅ローン償還表!$C$17:$H$46,6,FALSE()),0)</f>
        <v>0</v>
      </c>
      <c r="T50" s="197">
        <f>(IF(ライフイベント表!F49="",0,IF(AND(ライフイベント表!F49&gt;=0,ライフイベント表!F49&lt;=5),支出計画!$D$24,IF(AND(ライフイベント表!F49&gt;=6,ライフイベント表!F49&lt;=11),支出計画!$D$25,IF(AND(ライフイベント表!F49&gt;=12,ライフイベント表!F49&lt;=14),支出計画!$D$26,IF(AND(ライフイベント表!F49&gt;=15,ライフイベント表!F49&lt;=17),支出計画!$D$27,IF(ライフイベント表!F49=18,支出計画!$D$28,IF(AND(ライフイベント表!F49&gt;=19,ライフイベント表!F49&lt;=21),支出計画!$D$29,0)))))))+IF(ライフイベント表!G49="",0,IF(AND(ライフイベント表!G49&gt;=0,ライフイベント表!G49&lt;=5),支出計画!$D$24,IF(AND(ライフイベント表!G49&gt;=6,ライフイベント表!G49&lt;=11),支出計画!$D$25,IF(AND(ライフイベント表!G49&gt;=12,ライフイベント表!G49&lt;=14),支出計画!$D$26,IF(AND(ライフイベント表!G49&gt;=15,ライフイベント表!G49&lt;=17),支出計画!$D$27,IF(ライフイベント表!G49=18,支出計画!$D$28,IF(AND(ライフイベント表!G49&gt;=19,ライフイベント表!G49&lt;=21),支出計画!$D$29,0)))))))+IF(ライフイベント表!H49="",0,IF(AND(ライフイベント表!H49&gt;=0,ライフイベント表!H49&lt;=5),支出計画!$D$24,IF(AND(ライフイベント表!H49&gt;=6,ライフイベント表!H49&lt;=11),支出計画!$D$25,IF(AND(ライフイベント表!H49&gt;=12,ライフイベント表!H49&lt;=14),支出計画!$D$26,IF(AND(ライフイベント表!H49&gt;=15,ライフイベント表!H49&lt;=17),支出計画!$D$27,IF(ライフイベント表!H49=18,支出計画!$D$28,IF(AND(ライフイベント表!H49&gt;=19,ライフイベント表!H49&lt;=21),支出計画!$D$29,0)))))))+IF(ライフイベント表!I49="",0,IF(AND(ライフイベント表!I49&gt;=0,ライフイベント表!I49&lt;=5),支出計画!$D$24,IF(AND(ライフイベント表!I49&gt;=6,ライフイベント表!I49&lt;=11),支出計画!$D$25,IF(AND(ライフイベント表!I49&gt;=12,ライフイベント表!I49&lt;=14),支出計画!$D$26,IF(AND(ライフイベント表!I49&gt;=15,ライフイベント表!I49&lt;=17),支出計画!$D$27,IF(ライフイベント表!I49=18,支出計画!$D$28,IF(AND(ライフイベント表!I49&gt;=19,ライフイベント表!I49&lt;=21),支出計画!$D$29,0)))))))+IF(ライフイベント表!J49="",0,IF(AND(ライフイベント表!J49&gt;=0,ライフイベント表!J49&lt;=5),支出計画!$D$24,IF(AND(ライフイベント表!J49&gt;=6,ライフイベント表!J49&lt;=11),支出計画!$D$25,IF(AND(ライフイベント表!J49&gt;=12,ライフイベント表!J49&lt;=14),支出計画!$D$26,IF(AND(ライフイベント表!J49&gt;=15,ライフイベント表!J49&lt;=17),支出計画!$D$27,IF(ライフイベント表!J49=18,支出計画!$D$28,IF(AND(ライフイベント表!J49&gt;=19,ライフイベント表!J49&lt;=21),支出計画!$D$29,0))))))))*POWER(1.02,B50-1)</f>
        <v>0</v>
      </c>
      <c r="U50" s="170">
        <f>SUMPRODUCT((保険!$G$5:$G$12&lt;=C50)*(保険!$H$5:$H$12&gt;=C50)*保険!$F$5:$F$12)</f>
        <v>7</v>
      </c>
      <c r="V50" s="170">
        <f>支出計画!$C$9</f>
        <v>36</v>
      </c>
      <c r="W50" s="170">
        <f>IF(AND(C50&gt;=支出計画!$D$35,C50&lt;=支出計画!$F$35,MOD(C50-支出計画!$D$35,支出計画!$E$35)=0),支出計画!$C$35,0)+IF(AND(C50&gt;=支出計画!$D$36,C50&lt;=支出計画!$F$36,MOD(C50-支出計画!$D$36,支出計画!$E$36)=0),支出計画!$C$36,0)+IF(C50=支出計画!$D$37,支出計画!$C$37,0)+IF(C50=支出計画!$D$38,支出計画!$C$38,0)</f>
        <v>0</v>
      </c>
      <c r="X50" s="172">
        <f t="shared" si="6"/>
        <v>251.87820776803861</v>
      </c>
      <c r="Y50" s="172">
        <f t="shared" si="7"/>
        <v>60.121792231961393</v>
      </c>
      <c r="Z50" s="172">
        <f>Z49*(1+金融資産!$C$15)+Y50</f>
        <v>454.40816670445793</v>
      </c>
      <c r="AA50" s="1"/>
      <c r="AB50" s="1"/>
    </row>
    <row r="51" spans="1:28" ht="15" customHeight="1">
      <c r="A51" s="1"/>
      <c r="B51" s="167">
        <v>47</v>
      </c>
      <c r="C51" s="168">
        <f>基本情報!$C$3+B51-1</f>
        <v>2068</v>
      </c>
      <c r="D51" s="200">
        <f>IF(基本情報!$D$6="","",C51-YEAR(基本情報!$D$6)-IF(OR(MONTH(基本情報!$D$6)&gt;1,DAY(基本情報!$D$6)&gt;1),1,0))</f>
        <v>81</v>
      </c>
      <c r="E51" s="168">
        <f>IF(基本情報!$D$7="","",C51-YEAR(基本情報!$D$7)-IF(OR(MONTH(基本情報!$D$7)&gt;1,DAY(基本情報!$D$7)&gt;1),1,0))</f>
        <v>80</v>
      </c>
      <c r="F51" s="169">
        <f>IF(OR(基本情報!$D$8="",C51&lt;=YEAR(基本情報!$D$8)),"",MAX(0,C51-YEAR(基本情報!$D$8)-IF(OR(MONTH(基本情報!$D$8)&gt;1,DAY(基本情報!$D$8)&gt;1),1,0)))</f>
        <v>49</v>
      </c>
      <c r="G51" s="169">
        <f>IF(OR(基本情報!$D$9="",C51&lt;=YEAR(基本情報!$D$9)),"",MAX(0,C51-YEAR(基本情報!$D$9)-IF(OR(MONTH(基本情報!$D$9)&gt;1,DAY(基本情報!$D$9)&gt;1),1,0)))</f>
        <v>47</v>
      </c>
      <c r="H51" s="169">
        <f>IF(OR(基本情報!$D$10="",C51&lt;=YEAR(基本情報!$D$10)),"",MAX(0,C51-YEAR(基本情報!$D$10)-IF(OR(MONTH(基本情報!$D$10)&gt;1,DAY(基本情報!$D$10)&gt;1),1,0)))</f>
        <v>40</v>
      </c>
      <c r="I51" s="169">
        <f>IF(OR(基本情報!$D$11="",C51&lt;=YEAR(基本情報!$D$11)),"",MAX(0,C51-YEAR(基本情報!$D$11)-IF(OR(MONTH(基本情報!$D$11)&gt;1,DAY(基本情報!$D$11)&gt;1),1,0)))</f>
        <v>38</v>
      </c>
      <c r="J51" s="169">
        <f>IF(OR(基本情報!$D$12="",C51&lt;=YEAR(基本情報!$D$12)),"",MAX(0,C51-YEAR(基本情報!$D$12)-IF(OR(MONTH(基本情報!$D$12)&gt;1,DAY(基本情報!$D$12)&gt;1),1,0)))</f>
        <v>36</v>
      </c>
      <c r="K51" s="197">
        <f>IF(D51="","",IF(D51&lt;基本情報!$C$15,MAX(0,収入計画!$D$5*(1+収入計画!$E$5)^(B51-1)),IF(AND(D51&gt;=基本情報!$C$15,D51&lt;基本情報!$C$20),MAX(0,基本情報!$C$19*(収入計画!$D$5/収入計画!$C$5)),0)))</f>
        <v>0</v>
      </c>
      <c r="L51" s="170">
        <f>IF(E51="","",IF(E51&lt;基本情報!$D$15,IF(E51&lt;MAX(収入計画!$C$11,収入計画!$C$14,収入計画!$C$17,収入計画!$C$20,収入計画!$C$23),MAX(0,収入計画!$D$6*0.5*(1+収入計画!$E$6)^(B51-1)),MAX(0,収入計画!$D$6*(1+収入計画!$E$6)^(B51-1))),IF(AND(E51&gt;=基本情報!$D$15,E51&lt;基本情報!$D$20),MAX(0,基本情報!$D$19*(収入計画!$D$6/収入計画!$C$6)),0)))</f>
        <v>0</v>
      </c>
      <c r="M51" s="170">
        <f>IF(OR(D51="",E51=""),"",IF(D51=基本情報!$C$15,基本情報!$C$16,0)+IF(E51=基本情報!$D$15,基本情報!$D$16,0))</f>
        <v>0</v>
      </c>
      <c r="N51" s="170">
        <f>IF(D51="","",IF(OR(D51&gt;=基本情報!$C$17,E51&gt;=基本情報!$D$17),MAX(0,IF(D51&gt;=基本情報!$C$17,基本情報!$C$18*12,0)+IF(AND(E51&lt;&gt;"",E51&gt;=基本情報!$D$17),基本情報!$D$18*12,0)),""))</f>
        <v>312</v>
      </c>
      <c r="O51" s="170">
        <f t="shared" si="4"/>
        <v>0</v>
      </c>
      <c r="P51" s="205">
        <f t="shared" si="5"/>
        <v>312</v>
      </c>
      <c r="Q51" s="171">
        <f>IF(D51&lt;基本情報!$C$17,支出計画!$C$5*(1+支出計画!$D$5)^(B51-1),支出計画!$C$6*(1+支出計画!$D$6)^(D51-基本情報!$C$17))-IF(AND(F51&gt;=22,F51&lt;&gt;""),支出計画!$C$45,0)</f>
        <v>207.65381672919841</v>
      </c>
      <c r="R51" s="170">
        <f>IF(C51&lt;住宅ローン償還表!$C$9,支出計画!$C$7,0)</f>
        <v>0</v>
      </c>
      <c r="S51" s="170">
        <f>IFERROR(VLOOKUP(C51,住宅ローン償還表!$C$17:$H$46,6,FALSE()),0)</f>
        <v>0</v>
      </c>
      <c r="T51" s="197">
        <f>(IF(ライフイベント表!F50="",0,IF(AND(ライフイベント表!F50&gt;=0,ライフイベント表!F50&lt;=5),支出計画!$D$24,IF(AND(ライフイベント表!F50&gt;=6,ライフイベント表!F50&lt;=11),支出計画!$D$25,IF(AND(ライフイベント表!F50&gt;=12,ライフイベント表!F50&lt;=14),支出計画!$D$26,IF(AND(ライフイベント表!F50&gt;=15,ライフイベント表!F50&lt;=17),支出計画!$D$27,IF(ライフイベント表!F50=18,支出計画!$D$28,IF(AND(ライフイベント表!F50&gt;=19,ライフイベント表!F50&lt;=21),支出計画!$D$29,0)))))))+IF(ライフイベント表!G50="",0,IF(AND(ライフイベント表!G50&gt;=0,ライフイベント表!G50&lt;=5),支出計画!$D$24,IF(AND(ライフイベント表!G50&gt;=6,ライフイベント表!G50&lt;=11),支出計画!$D$25,IF(AND(ライフイベント表!G50&gt;=12,ライフイベント表!G50&lt;=14),支出計画!$D$26,IF(AND(ライフイベント表!G50&gt;=15,ライフイベント表!G50&lt;=17),支出計画!$D$27,IF(ライフイベント表!G50=18,支出計画!$D$28,IF(AND(ライフイベント表!G50&gt;=19,ライフイベント表!G50&lt;=21),支出計画!$D$29,0)))))))+IF(ライフイベント表!H50="",0,IF(AND(ライフイベント表!H50&gt;=0,ライフイベント表!H50&lt;=5),支出計画!$D$24,IF(AND(ライフイベント表!H50&gt;=6,ライフイベント表!H50&lt;=11),支出計画!$D$25,IF(AND(ライフイベント表!H50&gt;=12,ライフイベント表!H50&lt;=14),支出計画!$D$26,IF(AND(ライフイベント表!H50&gt;=15,ライフイベント表!H50&lt;=17),支出計画!$D$27,IF(ライフイベント表!H50=18,支出計画!$D$28,IF(AND(ライフイベント表!H50&gt;=19,ライフイベント表!H50&lt;=21),支出計画!$D$29,0)))))))+IF(ライフイベント表!I50="",0,IF(AND(ライフイベント表!I50&gt;=0,ライフイベント表!I50&lt;=5),支出計画!$D$24,IF(AND(ライフイベント表!I50&gt;=6,ライフイベント表!I50&lt;=11),支出計画!$D$25,IF(AND(ライフイベント表!I50&gt;=12,ライフイベント表!I50&lt;=14),支出計画!$D$26,IF(AND(ライフイベント表!I50&gt;=15,ライフイベント表!I50&lt;=17),支出計画!$D$27,IF(ライフイベント表!I50=18,支出計画!$D$28,IF(AND(ライフイベント表!I50&gt;=19,ライフイベント表!I50&lt;=21),支出計画!$D$29,0)))))))+IF(ライフイベント表!J50="",0,IF(AND(ライフイベント表!J50&gt;=0,ライフイベント表!J50&lt;=5),支出計画!$D$24,IF(AND(ライフイベント表!J50&gt;=6,ライフイベント表!J50&lt;=11),支出計画!$D$25,IF(AND(ライフイベント表!J50&gt;=12,ライフイベント表!J50&lt;=14),支出計画!$D$26,IF(AND(ライフイベント表!J50&gt;=15,ライフイベント表!J50&lt;=17),支出計画!$D$27,IF(ライフイベント表!J50=18,支出計画!$D$28,IF(AND(ライフイベント表!J50&gt;=19,ライフイベント表!J50&lt;=21),支出計画!$D$29,0))))))))*POWER(1.02,B51-1)</f>
        <v>0</v>
      </c>
      <c r="U51" s="170">
        <f>SUMPRODUCT((保険!$G$5:$G$12&lt;=C51)*(保険!$H$5:$H$12&gt;=C51)*保険!$F$5:$F$12)</f>
        <v>7</v>
      </c>
      <c r="V51" s="170">
        <f>支出計画!$C$9</f>
        <v>36</v>
      </c>
      <c r="W51" s="170">
        <f>IF(AND(C51&gt;=支出計画!$D$35,C51&lt;=支出計画!$F$35,MOD(C51-支出計画!$D$35,支出計画!$E$35)=0),支出計画!$C$35,0)+IF(AND(C51&gt;=支出計画!$D$36,C51&lt;=支出計画!$F$36,MOD(C51-支出計画!$D$36,支出計画!$E$36)=0),支出計画!$C$36,0)+IF(C51=支出計画!$D$37,支出計画!$C$37,0)+IF(C51=支出計画!$D$38,支出計画!$C$38,0)</f>
        <v>0</v>
      </c>
      <c r="X51" s="172">
        <f t="shared" si="6"/>
        <v>250.65381672919841</v>
      </c>
      <c r="Y51" s="172">
        <f t="shared" si="7"/>
        <v>61.346183270801589</v>
      </c>
      <c r="Z51" s="172">
        <f>Z50*(1+金融資産!$C$15)+Y51</f>
        <v>518.0263908087818</v>
      </c>
      <c r="AA51" s="1"/>
      <c r="AB51" s="1"/>
    </row>
    <row r="52" spans="1:28" ht="15" customHeight="1">
      <c r="A52" s="1"/>
      <c r="B52" s="167">
        <v>48</v>
      </c>
      <c r="C52" s="168">
        <f>基本情報!$C$3+B52-1</f>
        <v>2069</v>
      </c>
      <c r="D52" s="200">
        <f>IF(基本情報!$D$6="","",C52-YEAR(基本情報!$D$6)-IF(OR(MONTH(基本情報!$D$6)&gt;1,DAY(基本情報!$D$6)&gt;1),1,0))</f>
        <v>82</v>
      </c>
      <c r="E52" s="168">
        <f>IF(基本情報!$D$7="","",C52-YEAR(基本情報!$D$7)-IF(OR(MONTH(基本情報!$D$7)&gt;1,DAY(基本情報!$D$7)&gt;1),1,0))</f>
        <v>81</v>
      </c>
      <c r="F52" s="169">
        <f>IF(OR(基本情報!$D$8="",C52&lt;=YEAR(基本情報!$D$8)),"",MAX(0,C52-YEAR(基本情報!$D$8)-IF(OR(MONTH(基本情報!$D$8)&gt;1,DAY(基本情報!$D$8)&gt;1),1,0)))</f>
        <v>50</v>
      </c>
      <c r="G52" s="169">
        <f>IF(OR(基本情報!$D$9="",C52&lt;=YEAR(基本情報!$D$9)),"",MAX(0,C52-YEAR(基本情報!$D$9)-IF(OR(MONTH(基本情報!$D$9)&gt;1,DAY(基本情報!$D$9)&gt;1),1,0)))</f>
        <v>48</v>
      </c>
      <c r="H52" s="169">
        <f>IF(OR(基本情報!$D$10="",C52&lt;=YEAR(基本情報!$D$10)),"",MAX(0,C52-YEAR(基本情報!$D$10)-IF(OR(MONTH(基本情報!$D$10)&gt;1,DAY(基本情報!$D$10)&gt;1),1,0)))</f>
        <v>41</v>
      </c>
      <c r="I52" s="169">
        <f>IF(OR(基本情報!$D$11="",C52&lt;=YEAR(基本情報!$D$11)),"",MAX(0,C52-YEAR(基本情報!$D$11)-IF(OR(MONTH(基本情報!$D$11)&gt;1,DAY(基本情報!$D$11)&gt;1),1,0)))</f>
        <v>39</v>
      </c>
      <c r="J52" s="169">
        <f>IF(OR(基本情報!$D$12="",C52&lt;=YEAR(基本情報!$D$12)),"",MAX(0,C52-YEAR(基本情報!$D$12)-IF(OR(MONTH(基本情報!$D$12)&gt;1,DAY(基本情報!$D$12)&gt;1),1,0)))</f>
        <v>37</v>
      </c>
      <c r="K52" s="197">
        <f>IF(D52="","",IF(D52&lt;基本情報!$C$15,MAX(0,収入計画!$D$5*(1+収入計画!$E$5)^(B52-1)),IF(AND(D52&gt;=基本情報!$C$15,D52&lt;基本情報!$C$20),MAX(0,基本情報!$C$19*(収入計画!$D$5/収入計画!$C$5)),0)))</f>
        <v>0</v>
      </c>
      <c r="L52" s="170">
        <f>IF(E52="","",IF(E52&lt;基本情報!$D$15,IF(E52&lt;MAX(収入計画!$C$11,収入計画!$C$14,収入計画!$C$17,収入計画!$C$20,収入計画!$C$23),MAX(0,収入計画!$D$6*0.5*(1+収入計画!$E$6)^(B52-1)),MAX(0,収入計画!$D$6*(1+収入計画!$E$6)^(B52-1))),IF(AND(E52&gt;=基本情報!$D$15,E52&lt;基本情報!$D$20),MAX(0,基本情報!$D$19*(収入計画!$D$6/収入計画!$C$6)),0)))</f>
        <v>0</v>
      </c>
      <c r="M52" s="170">
        <f>IF(OR(D52="",E52=""),"",IF(D52=基本情報!$C$15,基本情報!$C$16,0)+IF(E52=基本情報!$D$15,基本情報!$D$16,0))</f>
        <v>0</v>
      </c>
      <c r="N52" s="170">
        <f>IF(D52="","",IF(OR(D52&gt;=基本情報!$C$17,E52&gt;=基本情報!$D$17),MAX(0,IF(D52&gt;=基本情報!$C$17,基本情報!$C$18*12,0)+IF(AND(E52&lt;&gt;"",E52&gt;=基本情報!$D$17),基本情報!$D$18*12,0)),""))</f>
        <v>312</v>
      </c>
      <c r="O52" s="170">
        <f t="shared" si="4"/>
        <v>0</v>
      </c>
      <c r="P52" s="205">
        <f t="shared" si="5"/>
        <v>312</v>
      </c>
      <c r="Q52" s="171">
        <f>IF(D52&lt;基本情報!$C$17,支出計画!$C$5*(1+支出計画!$D$5)^(B52-1),支出計画!$C$6*(1+支出計画!$D$6)^(D52-基本情報!$C$17))-IF(AND(F52&gt;=22,F52&lt;&gt;""),支出計画!$C$45,0)</f>
        <v>206.43554764555242</v>
      </c>
      <c r="R52" s="170">
        <f>IF(C52&lt;住宅ローン償還表!$C$9,支出計画!$C$7,0)</f>
        <v>0</v>
      </c>
      <c r="S52" s="170">
        <f>IFERROR(VLOOKUP(C52,住宅ローン償還表!$C$17:$H$46,6,FALSE()),0)</f>
        <v>0</v>
      </c>
      <c r="T52" s="197">
        <f>(IF(ライフイベント表!F51="",0,IF(AND(ライフイベント表!F51&gt;=0,ライフイベント表!F51&lt;=5),支出計画!$D$24,IF(AND(ライフイベント表!F51&gt;=6,ライフイベント表!F51&lt;=11),支出計画!$D$25,IF(AND(ライフイベント表!F51&gt;=12,ライフイベント表!F51&lt;=14),支出計画!$D$26,IF(AND(ライフイベント表!F51&gt;=15,ライフイベント表!F51&lt;=17),支出計画!$D$27,IF(ライフイベント表!F51=18,支出計画!$D$28,IF(AND(ライフイベント表!F51&gt;=19,ライフイベント表!F51&lt;=21),支出計画!$D$29,0)))))))+IF(ライフイベント表!G51="",0,IF(AND(ライフイベント表!G51&gt;=0,ライフイベント表!G51&lt;=5),支出計画!$D$24,IF(AND(ライフイベント表!G51&gt;=6,ライフイベント表!G51&lt;=11),支出計画!$D$25,IF(AND(ライフイベント表!G51&gt;=12,ライフイベント表!G51&lt;=14),支出計画!$D$26,IF(AND(ライフイベント表!G51&gt;=15,ライフイベント表!G51&lt;=17),支出計画!$D$27,IF(ライフイベント表!G51=18,支出計画!$D$28,IF(AND(ライフイベント表!G51&gt;=19,ライフイベント表!G51&lt;=21),支出計画!$D$29,0)))))))+IF(ライフイベント表!H51="",0,IF(AND(ライフイベント表!H51&gt;=0,ライフイベント表!H51&lt;=5),支出計画!$D$24,IF(AND(ライフイベント表!H51&gt;=6,ライフイベント表!H51&lt;=11),支出計画!$D$25,IF(AND(ライフイベント表!H51&gt;=12,ライフイベント表!H51&lt;=14),支出計画!$D$26,IF(AND(ライフイベント表!H51&gt;=15,ライフイベント表!H51&lt;=17),支出計画!$D$27,IF(ライフイベント表!H51=18,支出計画!$D$28,IF(AND(ライフイベント表!H51&gt;=19,ライフイベント表!H51&lt;=21),支出計画!$D$29,0)))))))+IF(ライフイベント表!I51="",0,IF(AND(ライフイベント表!I51&gt;=0,ライフイベント表!I51&lt;=5),支出計画!$D$24,IF(AND(ライフイベント表!I51&gt;=6,ライフイベント表!I51&lt;=11),支出計画!$D$25,IF(AND(ライフイベント表!I51&gt;=12,ライフイベント表!I51&lt;=14),支出計画!$D$26,IF(AND(ライフイベント表!I51&gt;=15,ライフイベント表!I51&lt;=17),支出計画!$D$27,IF(ライフイベント表!I51=18,支出計画!$D$28,IF(AND(ライフイベント表!I51&gt;=19,ライフイベント表!I51&lt;=21),支出計画!$D$29,0)))))))+IF(ライフイベント表!J51="",0,IF(AND(ライフイベント表!J51&gt;=0,ライフイベント表!J51&lt;=5),支出計画!$D$24,IF(AND(ライフイベント表!J51&gt;=6,ライフイベント表!J51&lt;=11),支出計画!$D$25,IF(AND(ライフイベント表!J51&gt;=12,ライフイベント表!J51&lt;=14),支出計画!$D$26,IF(AND(ライフイベント表!J51&gt;=15,ライフイベント表!J51&lt;=17),支出計画!$D$27,IF(ライフイベント表!J51=18,支出計画!$D$28,IF(AND(ライフイベント表!J51&gt;=19,ライフイベント表!J51&lt;=21),支出計画!$D$29,0))))))))*POWER(1.02,B52-1)</f>
        <v>0</v>
      </c>
      <c r="U52" s="171">
        <f>SUMPRODUCT((保険!$G$5:$G$12&lt;=C52)*(保険!$H$5:$H$12&gt;=C52)*保険!$F$5:$F$12)</f>
        <v>7</v>
      </c>
      <c r="V52" s="171">
        <f>支出計画!$C$9</f>
        <v>36</v>
      </c>
      <c r="W52" s="170">
        <f>IF(AND(C52&gt;=支出計画!$D$35,C52&lt;=支出計画!$F$35,MOD(C52-支出計画!$D$35,支出計画!$E$35)=0),支出計画!$C$35,0)+IF(AND(C52&gt;=支出計画!$D$36,C52&lt;=支出計画!$F$36,MOD(C52-支出計画!$D$36,支出計画!$E$36)=0),支出計画!$C$36,0)+IF(C52=支出計画!$D$37,支出計画!$C$37,0)+IF(C52=支出計画!$D$38,支出計画!$C$38,0)</f>
        <v>0</v>
      </c>
      <c r="X52" s="172">
        <f t="shared" si="6"/>
        <v>249.43554764555242</v>
      </c>
      <c r="Y52" s="172">
        <f t="shared" si="7"/>
        <v>62.564452354447582</v>
      </c>
      <c r="Z52" s="172">
        <f>Z51*(1+金融資産!$C$15)+Y52</f>
        <v>583.18097511727319</v>
      </c>
      <c r="AA52" s="1"/>
      <c r="AB52" s="1"/>
    </row>
    <row r="53" spans="1:28" ht="15" customHeight="1">
      <c r="A53" s="1"/>
      <c r="B53" s="167">
        <v>49</v>
      </c>
      <c r="C53" s="168">
        <f>基本情報!$C$3+B53-1</f>
        <v>2070</v>
      </c>
      <c r="D53" s="200">
        <f>IF(基本情報!$D$6="","",C53-YEAR(基本情報!$D$6)-IF(OR(MONTH(基本情報!$D$6)&gt;1,DAY(基本情報!$D$6)&gt;1),1,0))</f>
        <v>83</v>
      </c>
      <c r="E53" s="168">
        <f>IF(基本情報!$D$7="","",C53-YEAR(基本情報!$D$7)-IF(OR(MONTH(基本情報!$D$7)&gt;1,DAY(基本情報!$D$7)&gt;1),1,0))</f>
        <v>82</v>
      </c>
      <c r="F53" s="169">
        <f>IF(OR(基本情報!$D$8="",C53&lt;=YEAR(基本情報!$D$8)),"",MAX(0,C53-YEAR(基本情報!$D$8)-IF(OR(MONTH(基本情報!$D$8)&gt;1,DAY(基本情報!$D$8)&gt;1),1,0)))</f>
        <v>51</v>
      </c>
      <c r="G53" s="169">
        <f>IF(OR(基本情報!$D$9="",C53&lt;=YEAR(基本情報!$D$9)),"",MAX(0,C53-YEAR(基本情報!$D$9)-IF(OR(MONTH(基本情報!$D$9)&gt;1,DAY(基本情報!$D$9)&gt;1),1,0)))</f>
        <v>49</v>
      </c>
      <c r="H53" s="169">
        <f>IF(OR(基本情報!$D$10="",C53&lt;=YEAR(基本情報!$D$10)),"",MAX(0,C53-YEAR(基本情報!$D$10)-IF(OR(MONTH(基本情報!$D$10)&gt;1,DAY(基本情報!$D$10)&gt;1),1,0)))</f>
        <v>42</v>
      </c>
      <c r="I53" s="169">
        <f>IF(OR(基本情報!$D$11="",C53&lt;=YEAR(基本情報!$D$11)),"",MAX(0,C53-YEAR(基本情報!$D$11)-IF(OR(MONTH(基本情報!$D$11)&gt;1,DAY(基本情報!$D$11)&gt;1),1,0)))</f>
        <v>40</v>
      </c>
      <c r="J53" s="169">
        <f>IF(OR(基本情報!$D$12="",C53&lt;=YEAR(基本情報!$D$12)),"",MAX(0,C53-YEAR(基本情報!$D$12)-IF(OR(MONTH(基本情報!$D$12)&gt;1,DAY(基本情報!$D$12)&gt;1),1,0)))</f>
        <v>38</v>
      </c>
      <c r="K53" s="197">
        <f>IF(D53="","",IF(D53&lt;基本情報!$C$15,MAX(0,収入計画!$D$5*(1+収入計画!$E$5)^(B53-1)),IF(AND(D53&gt;=基本情報!$C$15,D53&lt;基本情報!$C$20),MAX(0,基本情報!$C$19*(収入計画!$D$5/収入計画!$C$5)),0)))</f>
        <v>0</v>
      </c>
      <c r="L53" s="170">
        <f>IF(E53="","",IF(E53&lt;基本情報!$D$15,IF(E53&lt;MAX(収入計画!$C$11,収入計画!$C$14,収入計画!$C$17,収入計画!$C$20,収入計画!$C$23),MAX(0,収入計画!$D$6*0.5*(1+収入計画!$E$6)^(B53-1)),MAX(0,収入計画!$D$6*(1+収入計画!$E$6)^(B53-1))),IF(AND(E53&gt;=基本情報!$D$15,E53&lt;基本情報!$D$20),MAX(0,基本情報!$D$19*(収入計画!$D$6/収入計画!$C$6)),0)))</f>
        <v>0</v>
      </c>
      <c r="M53" s="170">
        <f>IF(OR(D53="",E53=""),"",IF(D53=基本情報!$C$15,基本情報!$C$16,0)+IF(E53=基本情報!$D$15,基本情報!$D$16,0))</f>
        <v>0</v>
      </c>
      <c r="N53" s="170">
        <f>IF(D53="","",IF(OR(D53&gt;=基本情報!$C$17,E53&gt;=基本情報!$D$17),MAX(0,IF(D53&gt;=基本情報!$C$17,基本情報!$C$18*12,0)+IF(AND(E53&lt;&gt;"",E53&gt;=基本情報!$D$17),基本情報!$D$18*12,0)),""))</f>
        <v>312</v>
      </c>
      <c r="O53" s="170">
        <f t="shared" si="4"/>
        <v>0</v>
      </c>
      <c r="P53" s="205">
        <f t="shared" si="5"/>
        <v>312</v>
      </c>
      <c r="Q53" s="171">
        <f>IF(D53&lt;基本情報!$C$17,支出計画!$C$5*(1+支出計画!$D$5)^(B53-1),支出計画!$C$6*(1+支出計画!$D$6)^(D53-基本情報!$C$17))-IF(AND(F53&gt;=22,F53&lt;&gt;""),支出計画!$C$45,0)</f>
        <v>205.22336990732467</v>
      </c>
      <c r="R53" s="170">
        <f>IF(C53&lt;住宅ローン償還表!$C$9,支出計画!$C$7,0)</f>
        <v>0</v>
      </c>
      <c r="S53" s="170">
        <f>IFERROR(VLOOKUP(C53,住宅ローン償還表!$C$17:$H$46,6,FALSE()),0)</f>
        <v>0</v>
      </c>
      <c r="T53" s="197">
        <f>(IF(ライフイベント表!F52="",0,IF(AND(ライフイベント表!F52&gt;=0,ライフイベント表!F52&lt;=5),支出計画!$D$24,IF(AND(ライフイベント表!F52&gt;=6,ライフイベント表!F52&lt;=11),支出計画!$D$25,IF(AND(ライフイベント表!F52&gt;=12,ライフイベント表!F52&lt;=14),支出計画!$D$26,IF(AND(ライフイベント表!F52&gt;=15,ライフイベント表!F52&lt;=17),支出計画!$D$27,IF(ライフイベント表!F52=18,支出計画!$D$28,IF(AND(ライフイベント表!F52&gt;=19,ライフイベント表!F52&lt;=21),支出計画!$D$29,0)))))))+IF(ライフイベント表!G52="",0,IF(AND(ライフイベント表!G52&gt;=0,ライフイベント表!G52&lt;=5),支出計画!$D$24,IF(AND(ライフイベント表!G52&gt;=6,ライフイベント表!G52&lt;=11),支出計画!$D$25,IF(AND(ライフイベント表!G52&gt;=12,ライフイベント表!G52&lt;=14),支出計画!$D$26,IF(AND(ライフイベント表!G52&gt;=15,ライフイベント表!G52&lt;=17),支出計画!$D$27,IF(ライフイベント表!G52=18,支出計画!$D$28,IF(AND(ライフイベント表!G52&gt;=19,ライフイベント表!G52&lt;=21),支出計画!$D$29,0)))))))+IF(ライフイベント表!H52="",0,IF(AND(ライフイベント表!H52&gt;=0,ライフイベント表!H52&lt;=5),支出計画!$D$24,IF(AND(ライフイベント表!H52&gt;=6,ライフイベント表!H52&lt;=11),支出計画!$D$25,IF(AND(ライフイベント表!H52&gt;=12,ライフイベント表!H52&lt;=14),支出計画!$D$26,IF(AND(ライフイベント表!H52&gt;=15,ライフイベント表!H52&lt;=17),支出計画!$D$27,IF(ライフイベント表!H52=18,支出計画!$D$28,IF(AND(ライフイベント表!H52&gt;=19,ライフイベント表!H52&lt;=21),支出計画!$D$29,0)))))))+IF(ライフイベント表!I52="",0,IF(AND(ライフイベント表!I52&gt;=0,ライフイベント表!I52&lt;=5),支出計画!$D$24,IF(AND(ライフイベント表!I52&gt;=6,ライフイベント表!I52&lt;=11),支出計画!$D$25,IF(AND(ライフイベント表!I52&gt;=12,ライフイベント表!I52&lt;=14),支出計画!$D$26,IF(AND(ライフイベント表!I52&gt;=15,ライフイベント表!I52&lt;=17),支出計画!$D$27,IF(ライフイベント表!I52=18,支出計画!$D$28,IF(AND(ライフイベント表!I52&gt;=19,ライフイベント表!I52&lt;=21),支出計画!$D$29,0)))))))+IF(ライフイベント表!J52="",0,IF(AND(ライフイベント表!J52&gt;=0,ライフイベント表!J52&lt;=5),支出計画!$D$24,IF(AND(ライフイベント表!J52&gt;=6,ライフイベント表!J52&lt;=11),支出計画!$D$25,IF(AND(ライフイベント表!J52&gt;=12,ライフイベント表!J52&lt;=14),支出計画!$D$26,IF(AND(ライフイベント表!J52&gt;=15,ライフイベント表!J52&lt;=17),支出計画!$D$27,IF(ライフイベント表!J52=18,支出計画!$D$28,IF(AND(ライフイベント表!J52&gt;=19,ライフイベント表!J52&lt;=21),支出計画!$D$29,0))))))))*POWER(1.02,B53-1)</f>
        <v>0</v>
      </c>
      <c r="U53" s="171">
        <f>SUMPRODUCT((保険!$G$5:$G$12&lt;=C53)*(保険!$H$5:$H$12&gt;=C53)*保険!$F$5:$F$12)</f>
        <v>7</v>
      </c>
      <c r="V53" s="171">
        <f>支出計画!$C$9</f>
        <v>36</v>
      </c>
      <c r="W53" s="170">
        <f>IF(AND(C53&gt;=支出計画!$D$35,C53&lt;=支出計画!$F$35,MOD(C53-支出計画!$D$35,支出計画!$E$35)=0),支出計画!$C$35,0)+IF(AND(C53&gt;=支出計画!$D$36,C53&lt;=支出計画!$F$36,MOD(C53-支出計画!$D$36,支出計画!$E$36)=0),支出計画!$C$36,0)+IF(C53=支出計画!$D$37,支出計画!$C$37,0)+IF(C53=支出計画!$D$38,支出計画!$C$38,0)</f>
        <v>0</v>
      </c>
      <c r="X53" s="172">
        <f t="shared" si="6"/>
        <v>248.22336990732467</v>
      </c>
      <c r="Y53" s="172">
        <f t="shared" si="7"/>
        <v>63.776630092675333</v>
      </c>
      <c r="Z53" s="172">
        <f>Z52*(1+金融資産!$C$15)+Y53</f>
        <v>649.8735100855348</v>
      </c>
      <c r="AA53" s="1"/>
      <c r="AB53" s="1"/>
    </row>
    <row r="54" spans="1:28" ht="15" customHeight="1">
      <c r="A54" s="1"/>
      <c r="B54" s="167">
        <v>50</v>
      </c>
      <c r="C54" s="168">
        <f>基本情報!$C$3+B54-1</f>
        <v>2071</v>
      </c>
      <c r="D54" s="200">
        <f>IF(基本情報!$D$6="","",C54-YEAR(基本情報!$D$6)-IF(OR(MONTH(基本情報!$D$6)&gt;1,DAY(基本情報!$D$6)&gt;1),1,0))</f>
        <v>84</v>
      </c>
      <c r="E54" s="168">
        <f>IF(基本情報!$D$7="","",C54-YEAR(基本情報!$D$7)-IF(OR(MONTH(基本情報!$D$7)&gt;1,DAY(基本情報!$D$7)&gt;1),1,0))</f>
        <v>83</v>
      </c>
      <c r="F54" s="169">
        <f>IF(OR(基本情報!$D$8="",C54&lt;=YEAR(基本情報!$D$8)),"",MAX(0,C54-YEAR(基本情報!$D$8)-IF(OR(MONTH(基本情報!$D$8)&gt;1,DAY(基本情報!$D$8)&gt;1),1,0)))</f>
        <v>52</v>
      </c>
      <c r="G54" s="169">
        <f>IF(OR(基本情報!$D$9="",C54&lt;=YEAR(基本情報!$D$9)),"",MAX(0,C54-YEAR(基本情報!$D$9)-IF(OR(MONTH(基本情報!$D$9)&gt;1,DAY(基本情報!$D$9)&gt;1),1,0)))</f>
        <v>50</v>
      </c>
      <c r="H54" s="169">
        <f>IF(OR(基本情報!$D$10="",C54&lt;=YEAR(基本情報!$D$10)),"",MAX(0,C54-YEAR(基本情報!$D$10)-IF(OR(MONTH(基本情報!$D$10)&gt;1,DAY(基本情報!$D$10)&gt;1),1,0)))</f>
        <v>43</v>
      </c>
      <c r="I54" s="169">
        <f>IF(OR(基本情報!$D$11="",C54&lt;=YEAR(基本情報!$D$11)),"",MAX(0,C54-YEAR(基本情報!$D$11)-IF(OR(MONTH(基本情報!$D$11)&gt;1,DAY(基本情報!$D$11)&gt;1),1,0)))</f>
        <v>41</v>
      </c>
      <c r="J54" s="169">
        <f>IF(OR(基本情報!$D$12="",C54&lt;=YEAR(基本情報!$D$12)),"",MAX(0,C54-YEAR(基本情報!$D$12)-IF(OR(MONTH(基本情報!$D$12)&gt;1,DAY(基本情報!$D$12)&gt;1),1,0)))</f>
        <v>39</v>
      </c>
      <c r="K54" s="197">
        <f>IF(D54="","",IF(D54&lt;基本情報!$C$15,MAX(0,収入計画!$D$5*(1+収入計画!$E$5)^(B54-1)),IF(AND(D54&gt;=基本情報!$C$15,D54&lt;基本情報!$C$20),MAX(0,基本情報!$C$19*(収入計画!$D$5/収入計画!$C$5)),0)))</f>
        <v>0</v>
      </c>
      <c r="L54" s="170">
        <f>IF(E54="","",IF(E54&lt;基本情報!$D$15,IF(E54&lt;MAX(収入計画!$C$11,収入計画!$C$14,収入計画!$C$17,収入計画!$C$20,収入計画!$C$23),MAX(0,収入計画!$D$6*0.5*(1+収入計画!$E$6)^(B54-1)),MAX(0,収入計画!$D$6*(1+収入計画!$E$6)^(B54-1))),IF(AND(E54&gt;=基本情報!$D$15,E54&lt;基本情報!$D$20),MAX(0,基本情報!$D$19*(収入計画!$D$6/収入計画!$C$6)),0)))</f>
        <v>0</v>
      </c>
      <c r="M54" s="170">
        <f>IF(OR(D54="",E54=""),"",IF(D54=基本情報!$C$15,基本情報!$C$16,0)+IF(E54=基本情報!$D$15,基本情報!$D$16,0))</f>
        <v>0</v>
      </c>
      <c r="N54" s="170">
        <f>IF(D54="","",IF(OR(D54&gt;=基本情報!$C$17,E54&gt;=基本情報!$D$17),MAX(0,IF(D54&gt;=基本情報!$C$17,基本情報!$C$18*12,0)+IF(AND(E54&lt;&gt;"",E54&gt;=基本情報!$D$17),基本情報!$D$18*12,0)),""))</f>
        <v>312</v>
      </c>
      <c r="O54" s="170">
        <f t="shared" si="4"/>
        <v>0</v>
      </c>
      <c r="P54" s="205">
        <f t="shared" si="5"/>
        <v>312</v>
      </c>
      <c r="Q54" s="171">
        <f>IF(D54&lt;基本情報!$C$17,支出計画!$C$5*(1+支出計画!$D$5)^(B54-1),支出計画!$C$6*(1+支出計画!$D$6)^(D54-基本情報!$C$17))-IF(AND(F54&gt;=22,F54&lt;&gt;""),支出計画!$C$45,0)</f>
        <v>204.01725305778803</v>
      </c>
      <c r="R54" s="170">
        <f>IF(C54&lt;住宅ローン償還表!$C$9,支出計画!$C$7,0)</f>
        <v>0</v>
      </c>
      <c r="S54" s="170">
        <f>IFERROR(VLOOKUP(C54,住宅ローン償還表!$C$17:$H$46,6,FALSE()),0)</f>
        <v>0</v>
      </c>
      <c r="T54" s="197">
        <f>(IF(ライフイベント表!F53="",0,IF(AND(ライフイベント表!F53&gt;=0,ライフイベント表!F53&lt;=5),支出計画!$D$24,IF(AND(ライフイベント表!F53&gt;=6,ライフイベント表!F53&lt;=11),支出計画!$D$25,IF(AND(ライフイベント表!F53&gt;=12,ライフイベント表!F53&lt;=14),支出計画!$D$26,IF(AND(ライフイベント表!F53&gt;=15,ライフイベント表!F53&lt;=17),支出計画!$D$27,IF(ライフイベント表!F53=18,支出計画!$D$28,IF(AND(ライフイベント表!F53&gt;=19,ライフイベント表!F53&lt;=21),支出計画!$D$29,0)))))))+IF(ライフイベント表!G53="",0,IF(AND(ライフイベント表!G53&gt;=0,ライフイベント表!G53&lt;=5),支出計画!$D$24,IF(AND(ライフイベント表!G53&gt;=6,ライフイベント表!G53&lt;=11),支出計画!$D$25,IF(AND(ライフイベント表!G53&gt;=12,ライフイベント表!G53&lt;=14),支出計画!$D$26,IF(AND(ライフイベント表!G53&gt;=15,ライフイベント表!G53&lt;=17),支出計画!$D$27,IF(ライフイベント表!G53=18,支出計画!$D$28,IF(AND(ライフイベント表!G53&gt;=19,ライフイベント表!G53&lt;=21),支出計画!$D$29,0)))))))+IF(ライフイベント表!H53="",0,IF(AND(ライフイベント表!H53&gt;=0,ライフイベント表!H53&lt;=5),支出計画!$D$24,IF(AND(ライフイベント表!H53&gt;=6,ライフイベント表!H53&lt;=11),支出計画!$D$25,IF(AND(ライフイベント表!H53&gt;=12,ライフイベント表!H53&lt;=14),支出計画!$D$26,IF(AND(ライフイベント表!H53&gt;=15,ライフイベント表!H53&lt;=17),支出計画!$D$27,IF(ライフイベント表!H53=18,支出計画!$D$28,IF(AND(ライフイベント表!H53&gt;=19,ライフイベント表!H53&lt;=21),支出計画!$D$29,0)))))))+IF(ライフイベント表!I53="",0,IF(AND(ライフイベント表!I53&gt;=0,ライフイベント表!I53&lt;=5),支出計画!$D$24,IF(AND(ライフイベント表!I53&gt;=6,ライフイベント表!I53&lt;=11),支出計画!$D$25,IF(AND(ライフイベント表!I53&gt;=12,ライフイベント表!I53&lt;=14),支出計画!$D$26,IF(AND(ライフイベント表!I53&gt;=15,ライフイベント表!I53&lt;=17),支出計画!$D$27,IF(ライフイベント表!I53=18,支出計画!$D$28,IF(AND(ライフイベント表!I53&gt;=19,ライフイベント表!I53&lt;=21),支出計画!$D$29,0)))))))+IF(ライフイベント表!J53="",0,IF(AND(ライフイベント表!J53&gt;=0,ライフイベント表!J53&lt;=5),支出計画!$D$24,IF(AND(ライフイベント表!J53&gt;=6,ライフイベント表!J53&lt;=11),支出計画!$D$25,IF(AND(ライフイベント表!J53&gt;=12,ライフイベント表!J53&lt;=14),支出計画!$D$26,IF(AND(ライフイベント表!J53&gt;=15,ライフイベント表!J53&lt;=17),支出計画!$D$27,IF(ライフイベント表!J53=18,支出計画!$D$28,IF(AND(ライフイベント表!J53&gt;=19,ライフイベント表!J53&lt;=21),支出計画!$D$29,0))))))))*POWER(1.02,B54-1)</f>
        <v>0</v>
      </c>
      <c r="U54" s="171">
        <f>SUMPRODUCT((保険!$G$5:$G$12&lt;=C54)*(保険!$H$5:$H$12&gt;=C54)*保険!$F$5:$F$12)</f>
        <v>7</v>
      </c>
      <c r="V54" s="171">
        <f>支出計画!$C$9</f>
        <v>36</v>
      </c>
      <c r="W54" s="170">
        <f>IF(AND(C54&gt;=支出計画!$D$35,C54&lt;=支出計画!$F$35,MOD(C54-支出計画!$D$35,支出計画!$E$35)=0),支出計画!$C$35,0)+IF(AND(C54&gt;=支出計画!$D$36,C54&lt;=支出計画!$F$36,MOD(C54-支出計画!$D$36,支出計画!$E$36)=0),支出計画!$C$36,0)+IF(C54=支出計画!$D$37,支出計画!$C$37,0)+IF(C54=支出計画!$D$38,支出計画!$C$38,0)</f>
        <v>0</v>
      </c>
      <c r="X54" s="172">
        <f t="shared" si="6"/>
        <v>247.01725305778803</v>
      </c>
      <c r="Y54" s="172">
        <f t="shared" si="7"/>
        <v>64.982746942211975</v>
      </c>
      <c r="Z54" s="172">
        <f>Z53*(1+金融資産!$C$15)+Y54</f>
        <v>718.10562457817434</v>
      </c>
      <c r="AA54" s="1"/>
      <c r="AB54" s="1"/>
    </row>
    <row r="55" spans="1:28" ht="15" customHeight="1">
      <c r="A55" s="1"/>
      <c r="B55" s="167">
        <v>51</v>
      </c>
      <c r="C55" s="168">
        <f>基本情報!$C$3+B55-1</f>
        <v>2072</v>
      </c>
      <c r="D55" s="200">
        <f>IF(基本情報!$D$6="","",C55-YEAR(基本情報!$D$6)-IF(OR(MONTH(基本情報!$D$6)&gt;1,DAY(基本情報!$D$6)&gt;1),1,0))</f>
        <v>85</v>
      </c>
      <c r="E55" s="168">
        <f>IF(基本情報!$D$7="","",C55-YEAR(基本情報!$D$7)-IF(OR(MONTH(基本情報!$D$7)&gt;1,DAY(基本情報!$D$7)&gt;1),1,0))</f>
        <v>84</v>
      </c>
      <c r="F55" s="169">
        <f>IF(OR(基本情報!$D$8="",C55&lt;=YEAR(基本情報!$D$8)),"",MAX(0,C55-YEAR(基本情報!$D$8)-IF(OR(MONTH(基本情報!$D$8)&gt;1,DAY(基本情報!$D$8)&gt;1),1,0)))</f>
        <v>53</v>
      </c>
      <c r="G55" s="169">
        <f>IF(OR(基本情報!$D$9="",C55&lt;=YEAR(基本情報!$D$9)),"",MAX(0,C55-YEAR(基本情報!$D$9)-IF(OR(MONTH(基本情報!$D$9)&gt;1,DAY(基本情報!$D$9)&gt;1),1,0)))</f>
        <v>51</v>
      </c>
      <c r="H55" s="169">
        <f>IF(OR(基本情報!$D$10="",C55&lt;=YEAR(基本情報!$D$10)),"",MAX(0,C55-YEAR(基本情報!$D$10)-IF(OR(MONTH(基本情報!$D$10)&gt;1,DAY(基本情報!$D$10)&gt;1),1,0)))</f>
        <v>44</v>
      </c>
      <c r="I55" s="169">
        <f>IF(OR(基本情報!$D$11="",C55&lt;=YEAR(基本情報!$D$11)),"",MAX(0,C55-YEAR(基本情報!$D$11)-IF(OR(MONTH(基本情報!$D$11)&gt;1,DAY(基本情報!$D$11)&gt;1),1,0)))</f>
        <v>42</v>
      </c>
      <c r="J55" s="169">
        <f>IF(OR(基本情報!$D$12="",C55&lt;=YEAR(基本情報!$D$12)),"",MAX(0,C55-YEAR(基本情報!$D$12)-IF(OR(MONTH(基本情報!$D$12)&gt;1,DAY(基本情報!$D$12)&gt;1),1,0)))</f>
        <v>40</v>
      </c>
      <c r="K55" s="197">
        <f>IF(D55="","",IF(D55&lt;基本情報!$C$15,MAX(0,収入計画!$D$5*(1+収入計画!$E$5)^(B55-1)),IF(AND(D55&gt;=基本情報!$C$15,D55&lt;基本情報!$C$20),MAX(0,基本情報!$C$19*(収入計画!$D$5/収入計画!$C$5)),0)))</f>
        <v>0</v>
      </c>
      <c r="L55" s="170">
        <f>IF(E55="","",IF(E55&lt;基本情報!$D$15,IF(E55&lt;MAX(収入計画!$C$11,収入計画!$C$14,収入計画!$C$17,収入計画!$C$20,収入計画!$C$23),MAX(0,収入計画!$D$6*0.5*(1+収入計画!$E$6)^(B55-1)),MAX(0,収入計画!$D$6*(1+収入計画!$E$6)^(B55-1))),IF(AND(E55&gt;=基本情報!$D$15,E55&lt;基本情報!$D$20),MAX(0,基本情報!$D$19*(収入計画!$D$6/収入計画!$C$6)),0)))</f>
        <v>0</v>
      </c>
      <c r="M55" s="170">
        <f>IF(OR(D55="",E55=""),"",IF(D55=基本情報!$C$15,基本情報!$C$16,0)+IF(E55=基本情報!$D$15,基本情報!$D$16,0))</f>
        <v>0</v>
      </c>
      <c r="N55" s="170">
        <f>IF(D55="","",IF(OR(D55&gt;=基本情報!$C$17,E55&gt;=基本情報!$D$17),MAX(0,IF(D55&gt;=基本情報!$C$17,基本情報!$C$18*12,0)+IF(AND(E55&lt;&gt;"",E55&gt;=基本情報!$D$17),基本情報!$D$18*12,0)),""))</f>
        <v>312</v>
      </c>
      <c r="O55" s="170">
        <f t="shared" si="4"/>
        <v>0</v>
      </c>
      <c r="P55" s="205">
        <f t="shared" si="5"/>
        <v>312</v>
      </c>
      <c r="Q55" s="171">
        <f>IF(D55&lt;基本情報!$C$17,支出計画!$C$5*(1+支出計画!$D$5)^(B55-1),支出計画!$C$6*(1+支出計画!$D$6)^(D55-基本情報!$C$17))-IF(AND(F55&gt;=22,F55&lt;&gt;""),支出計画!$C$45,0)</f>
        <v>202.81716679249908</v>
      </c>
      <c r="R55" s="170">
        <f>IF(C55&lt;住宅ローン償還表!$C$9,支出計画!$C$7,0)</f>
        <v>0</v>
      </c>
      <c r="S55" s="170">
        <f>IFERROR(VLOOKUP(C55,住宅ローン償還表!$C$17:$H$46,6,FALSE()),0)</f>
        <v>0</v>
      </c>
      <c r="T55" s="197">
        <f>(IF(ライフイベント表!F54="",0,IF(AND(ライフイベント表!F54&gt;=0,ライフイベント表!F54&lt;=5),支出計画!$D$24,IF(AND(ライフイベント表!F54&gt;=6,ライフイベント表!F54&lt;=11),支出計画!$D$25,IF(AND(ライフイベント表!F54&gt;=12,ライフイベント表!F54&lt;=14),支出計画!$D$26,IF(AND(ライフイベント表!F54&gt;=15,ライフイベント表!F54&lt;=17),支出計画!$D$27,IF(ライフイベント表!F54=18,支出計画!$D$28,IF(AND(ライフイベント表!F54&gt;=19,ライフイベント表!F54&lt;=21),支出計画!$D$29,0)))))))+IF(ライフイベント表!G54="",0,IF(AND(ライフイベント表!G54&gt;=0,ライフイベント表!G54&lt;=5),支出計画!$D$24,IF(AND(ライフイベント表!G54&gt;=6,ライフイベント表!G54&lt;=11),支出計画!$D$25,IF(AND(ライフイベント表!G54&gt;=12,ライフイベント表!G54&lt;=14),支出計画!$D$26,IF(AND(ライフイベント表!G54&gt;=15,ライフイベント表!G54&lt;=17),支出計画!$D$27,IF(ライフイベント表!G54=18,支出計画!$D$28,IF(AND(ライフイベント表!G54&gt;=19,ライフイベント表!G54&lt;=21),支出計画!$D$29,0)))))))+IF(ライフイベント表!H54="",0,IF(AND(ライフイベント表!H54&gt;=0,ライフイベント表!H54&lt;=5),支出計画!$D$24,IF(AND(ライフイベント表!H54&gt;=6,ライフイベント表!H54&lt;=11),支出計画!$D$25,IF(AND(ライフイベント表!H54&gt;=12,ライフイベント表!H54&lt;=14),支出計画!$D$26,IF(AND(ライフイベント表!H54&gt;=15,ライフイベント表!H54&lt;=17),支出計画!$D$27,IF(ライフイベント表!H54=18,支出計画!$D$28,IF(AND(ライフイベント表!H54&gt;=19,ライフイベント表!H54&lt;=21),支出計画!$D$29,0)))))))+IF(ライフイベント表!I54="",0,IF(AND(ライフイベント表!I54&gt;=0,ライフイベント表!I54&lt;=5),支出計画!$D$24,IF(AND(ライフイベント表!I54&gt;=6,ライフイベント表!I54&lt;=11),支出計画!$D$25,IF(AND(ライフイベント表!I54&gt;=12,ライフイベント表!I54&lt;=14),支出計画!$D$26,IF(AND(ライフイベント表!I54&gt;=15,ライフイベント表!I54&lt;=17),支出計画!$D$27,IF(ライフイベント表!I54=18,支出計画!$D$28,IF(AND(ライフイベント表!I54&gt;=19,ライフイベント表!I54&lt;=21),支出計画!$D$29,0)))))))+IF(ライフイベント表!J54="",0,IF(AND(ライフイベント表!J54&gt;=0,ライフイベント表!J54&lt;=5),支出計画!$D$24,IF(AND(ライフイベント表!J54&gt;=6,ライフイベント表!J54&lt;=11),支出計画!$D$25,IF(AND(ライフイベント表!J54&gt;=12,ライフイベント表!J54&lt;=14),支出計画!$D$26,IF(AND(ライフイベント表!J54&gt;=15,ライフイベント表!J54&lt;=17),支出計画!$D$27,IF(ライフイベント表!J54=18,支出計画!$D$28,IF(AND(ライフイベント表!J54&gt;=19,ライフイベント表!J54&lt;=21),支出計画!$D$29,0))))))))*POWER(1.02,B55-1)</f>
        <v>0</v>
      </c>
      <c r="U55" s="171">
        <f>SUMPRODUCT((保険!$G$5:$G$12&lt;=C55)*(保険!$H$5:$H$12&gt;=C55)*保険!$F$5:$F$12)</f>
        <v>7</v>
      </c>
      <c r="V55" s="171">
        <f>支出計画!$C$9</f>
        <v>36</v>
      </c>
      <c r="W55" s="170">
        <f>IF(AND(C55&gt;=支出計画!$D$35,C55&lt;=支出計画!$F$35,MOD(C55-支出計画!$D$35,支出計画!$E$35)=0),支出計画!$C$35,0)+IF(AND(C55&gt;=支出計画!$D$36,C55&lt;=支出計画!$F$36,MOD(C55-支出計画!$D$36,支出計画!$E$36)=0),支出計画!$C$36,0)+IF(C55=支出計画!$D$37,支出計画!$C$37,0)+IF(C55=支出計画!$D$38,支出計画!$C$38,0)</f>
        <v>0</v>
      </c>
      <c r="X55" s="172">
        <f t="shared" si="6"/>
        <v>245.81716679249908</v>
      </c>
      <c r="Y55" s="172">
        <f t="shared" si="7"/>
        <v>66.18283320750092</v>
      </c>
      <c r="Z55" s="172">
        <f>Z54*(1+金融資産!$C$15)+Y55</f>
        <v>787.87898590856605</v>
      </c>
      <c r="AA55" s="1"/>
      <c r="AB55" s="1"/>
    </row>
    <row r="56" spans="1:28" ht="15" customHeight="1">
      <c r="A56" s="1"/>
      <c r="B56" s="167">
        <v>52</v>
      </c>
      <c r="C56" s="168">
        <f>基本情報!$C$3+B56-1</f>
        <v>2073</v>
      </c>
      <c r="D56" s="200">
        <f>IF(基本情報!$D$6="","",C56-YEAR(基本情報!$D$6)-IF(OR(MONTH(基本情報!$D$6)&gt;1,DAY(基本情報!$D$6)&gt;1),1,0))</f>
        <v>86</v>
      </c>
      <c r="E56" s="168">
        <f>IF(基本情報!$D$7="","",C56-YEAR(基本情報!$D$7)-IF(OR(MONTH(基本情報!$D$7)&gt;1,DAY(基本情報!$D$7)&gt;1),1,0))</f>
        <v>85</v>
      </c>
      <c r="F56" s="169">
        <f>IF(OR(基本情報!$D$8="",C56&lt;=YEAR(基本情報!$D$8)),"",MAX(0,C56-YEAR(基本情報!$D$8)-IF(OR(MONTH(基本情報!$D$8)&gt;1,DAY(基本情報!$D$8)&gt;1),1,0)))</f>
        <v>54</v>
      </c>
      <c r="G56" s="169">
        <f>IF(OR(基本情報!$D$9="",C56&lt;=YEAR(基本情報!$D$9)),"",MAX(0,C56-YEAR(基本情報!$D$9)-IF(OR(MONTH(基本情報!$D$9)&gt;1,DAY(基本情報!$D$9)&gt;1),1,0)))</f>
        <v>52</v>
      </c>
      <c r="H56" s="169">
        <f>IF(OR(基本情報!$D$10="",C56&lt;=YEAR(基本情報!$D$10)),"",MAX(0,C56-YEAR(基本情報!$D$10)-IF(OR(MONTH(基本情報!$D$10)&gt;1,DAY(基本情報!$D$10)&gt;1),1,0)))</f>
        <v>45</v>
      </c>
      <c r="I56" s="169">
        <f>IF(OR(基本情報!$D$11="",C56&lt;=YEAR(基本情報!$D$11)),"",MAX(0,C56-YEAR(基本情報!$D$11)-IF(OR(MONTH(基本情報!$D$11)&gt;1,DAY(基本情報!$D$11)&gt;1),1,0)))</f>
        <v>43</v>
      </c>
      <c r="J56" s="169">
        <f>IF(OR(基本情報!$D$12="",C56&lt;=YEAR(基本情報!$D$12)),"",MAX(0,C56-YEAR(基本情報!$D$12)-IF(OR(MONTH(基本情報!$D$12)&gt;1,DAY(基本情報!$D$12)&gt;1),1,0)))</f>
        <v>41</v>
      </c>
      <c r="K56" s="197">
        <f>IF(D56="","",IF(D56&lt;基本情報!$C$15,MAX(0,収入計画!$D$5*(1+収入計画!$E$5)^(B56-1)),IF(AND(D56&gt;=基本情報!$C$15,D56&lt;基本情報!$C$20),MAX(0,基本情報!$C$19*(収入計画!$D$5/収入計画!$C$5)),0)))</f>
        <v>0</v>
      </c>
      <c r="L56" s="170">
        <f>IF(E56="","",IF(E56&lt;基本情報!$D$15,IF(E56&lt;MAX(収入計画!$C$11,収入計画!$C$14,収入計画!$C$17,収入計画!$C$20,収入計画!$C$23),MAX(0,収入計画!$D$6*0.5*(1+収入計画!$E$6)^(B56-1)),MAX(0,収入計画!$D$6*(1+収入計画!$E$6)^(B56-1))),IF(AND(E56&gt;=基本情報!$D$15,E56&lt;基本情報!$D$20),MAX(0,基本情報!$D$19*(収入計画!$D$6/収入計画!$C$6)),0)))</f>
        <v>0</v>
      </c>
      <c r="M56" s="170">
        <f>IF(OR(D56="",E56=""),"",IF(D56=基本情報!$C$15,基本情報!$C$16,0)+IF(E56=基本情報!$D$15,基本情報!$D$16,0))</f>
        <v>0</v>
      </c>
      <c r="N56" s="170">
        <f>IF(D56="","",IF(OR(D56&gt;=基本情報!$C$17,E56&gt;=基本情報!$D$17),MAX(0,IF(D56&gt;=基本情報!$C$17,基本情報!$C$18*12,0)+IF(AND(E56&lt;&gt;"",E56&gt;=基本情報!$D$17),基本情報!$D$18*12,0)),""))</f>
        <v>312</v>
      </c>
      <c r="O56" s="170">
        <f t="shared" si="4"/>
        <v>0</v>
      </c>
      <c r="P56" s="205">
        <f t="shared" si="5"/>
        <v>312</v>
      </c>
      <c r="Q56" s="171">
        <f>IF(D56&lt;基本情報!$C$17,支出計画!$C$5*(1+支出計画!$D$5)^(B56-1),支出計画!$C$6*(1+支出計画!$D$6)^(D56-基本情報!$C$17))-IF(AND(F56&gt;=22,F56&lt;&gt;""),支出計画!$C$45,0)</f>
        <v>201.6230809585366</v>
      </c>
      <c r="R56" s="170">
        <f>IF(C56&lt;住宅ローン償還表!$C$9,支出計画!$C$7,0)</f>
        <v>0</v>
      </c>
      <c r="S56" s="170">
        <f>IFERROR(VLOOKUP(C56,住宅ローン償還表!$C$17:$H$46,6,FALSE()),0)</f>
        <v>0</v>
      </c>
      <c r="T56" s="197">
        <f>(IF(ライフイベント表!F55="",0,IF(AND(ライフイベント表!F55&gt;=0,ライフイベント表!F55&lt;=5),支出計画!$D$24,IF(AND(ライフイベント表!F55&gt;=6,ライフイベント表!F55&lt;=11),支出計画!$D$25,IF(AND(ライフイベント表!F55&gt;=12,ライフイベント表!F55&lt;=14),支出計画!$D$26,IF(AND(ライフイベント表!F55&gt;=15,ライフイベント表!F55&lt;=17),支出計画!$D$27,IF(ライフイベント表!F55=18,支出計画!$D$28,IF(AND(ライフイベント表!F55&gt;=19,ライフイベント表!F55&lt;=21),支出計画!$D$29,0)))))))+IF(ライフイベント表!G55="",0,IF(AND(ライフイベント表!G55&gt;=0,ライフイベント表!G55&lt;=5),支出計画!$D$24,IF(AND(ライフイベント表!G55&gt;=6,ライフイベント表!G55&lt;=11),支出計画!$D$25,IF(AND(ライフイベント表!G55&gt;=12,ライフイベント表!G55&lt;=14),支出計画!$D$26,IF(AND(ライフイベント表!G55&gt;=15,ライフイベント表!G55&lt;=17),支出計画!$D$27,IF(ライフイベント表!G55=18,支出計画!$D$28,IF(AND(ライフイベント表!G55&gt;=19,ライフイベント表!G55&lt;=21),支出計画!$D$29,0)))))))+IF(ライフイベント表!H55="",0,IF(AND(ライフイベント表!H55&gt;=0,ライフイベント表!H55&lt;=5),支出計画!$D$24,IF(AND(ライフイベント表!H55&gt;=6,ライフイベント表!H55&lt;=11),支出計画!$D$25,IF(AND(ライフイベント表!H55&gt;=12,ライフイベント表!H55&lt;=14),支出計画!$D$26,IF(AND(ライフイベント表!H55&gt;=15,ライフイベント表!H55&lt;=17),支出計画!$D$27,IF(ライフイベント表!H55=18,支出計画!$D$28,IF(AND(ライフイベント表!H55&gt;=19,ライフイベント表!H55&lt;=21),支出計画!$D$29,0)))))))+IF(ライフイベント表!I55="",0,IF(AND(ライフイベント表!I55&gt;=0,ライフイベント表!I55&lt;=5),支出計画!$D$24,IF(AND(ライフイベント表!I55&gt;=6,ライフイベント表!I55&lt;=11),支出計画!$D$25,IF(AND(ライフイベント表!I55&gt;=12,ライフイベント表!I55&lt;=14),支出計画!$D$26,IF(AND(ライフイベント表!I55&gt;=15,ライフイベント表!I55&lt;=17),支出計画!$D$27,IF(ライフイベント表!I55=18,支出計画!$D$28,IF(AND(ライフイベント表!I55&gt;=19,ライフイベント表!I55&lt;=21),支出計画!$D$29,0)))))))+IF(ライフイベント表!J55="",0,IF(AND(ライフイベント表!J55&gt;=0,ライフイベント表!J55&lt;=5),支出計画!$D$24,IF(AND(ライフイベント表!J55&gt;=6,ライフイベント表!J55&lt;=11),支出計画!$D$25,IF(AND(ライフイベント表!J55&gt;=12,ライフイベント表!J55&lt;=14),支出計画!$D$26,IF(AND(ライフイベント表!J55&gt;=15,ライフイベント表!J55&lt;=17),支出計画!$D$27,IF(ライフイベント表!J55=18,支出計画!$D$28,IF(AND(ライフイベント表!J55&gt;=19,ライフイベント表!J55&lt;=21),支出計画!$D$29,0))))))))*POWER(1.02,B56-1)</f>
        <v>0</v>
      </c>
      <c r="U56" s="171">
        <f>SUMPRODUCT((保険!$G$5:$G$12&lt;=C56)*(保険!$H$5:$H$12&gt;=C56)*保険!$F$5:$F$12)</f>
        <v>7</v>
      </c>
      <c r="V56" s="171">
        <f>支出計画!$C$9</f>
        <v>36</v>
      </c>
      <c r="W56" s="170">
        <f>IF(AND(C56&gt;=支出計画!$D$35,C56&lt;=支出計画!$F$35,MOD(C56-支出計画!$D$35,支出計画!$E$35)=0),支出計画!$C$35,0)+IF(AND(C56&gt;=支出計画!$D$36,C56&lt;=支出計画!$F$36,MOD(C56-支出計画!$D$36,支出計画!$E$36)=0),支出計画!$C$36,0)+IF(C56=支出計画!$D$37,支出計画!$C$37,0)+IF(C56=支出計画!$D$38,支出計画!$C$38,0)</f>
        <v>200</v>
      </c>
      <c r="X56" s="172">
        <f t="shared" si="6"/>
        <v>444.6230809585366</v>
      </c>
      <c r="Y56" s="172">
        <f t="shared" si="7"/>
        <v>-132.6230809585366</v>
      </c>
      <c r="Z56" s="172">
        <f>Z55*(1+金融資産!$C$15)+Y56</f>
        <v>659.1952998795723</v>
      </c>
      <c r="AA56" s="1"/>
      <c r="AB56" s="1"/>
    </row>
    <row r="57" spans="1:28" ht="15" customHeight="1">
      <c r="A57" s="1"/>
      <c r="B57" s="167">
        <v>53</v>
      </c>
      <c r="C57" s="168">
        <f>基本情報!$C$3+B57-1</f>
        <v>2074</v>
      </c>
      <c r="D57" s="200">
        <f>IF(基本情報!$D$6="","",C57-YEAR(基本情報!$D$6)-IF(OR(MONTH(基本情報!$D$6)&gt;1,DAY(基本情報!$D$6)&gt;1),1,0))</f>
        <v>87</v>
      </c>
      <c r="E57" s="168">
        <f>IF(基本情報!$D$7="","",C57-YEAR(基本情報!$D$7)-IF(OR(MONTH(基本情報!$D$7)&gt;1,DAY(基本情報!$D$7)&gt;1),1,0))</f>
        <v>86</v>
      </c>
      <c r="F57" s="169">
        <f>IF(OR(基本情報!$D$8="",C57&lt;=YEAR(基本情報!$D$8)),"",MAX(0,C57-YEAR(基本情報!$D$8)-IF(OR(MONTH(基本情報!$D$8)&gt;1,DAY(基本情報!$D$8)&gt;1),1,0)))</f>
        <v>55</v>
      </c>
      <c r="G57" s="169">
        <f>IF(OR(基本情報!$D$9="",C57&lt;=YEAR(基本情報!$D$9)),"",MAX(0,C57-YEAR(基本情報!$D$9)-IF(OR(MONTH(基本情報!$D$9)&gt;1,DAY(基本情報!$D$9)&gt;1),1,0)))</f>
        <v>53</v>
      </c>
      <c r="H57" s="169">
        <f>IF(OR(基本情報!$D$10="",C57&lt;=YEAR(基本情報!$D$10)),"",MAX(0,C57-YEAR(基本情報!$D$10)-IF(OR(MONTH(基本情報!$D$10)&gt;1,DAY(基本情報!$D$10)&gt;1),1,0)))</f>
        <v>46</v>
      </c>
      <c r="I57" s="169">
        <f>IF(OR(基本情報!$D$11="",C57&lt;=YEAR(基本情報!$D$11)),"",MAX(0,C57-YEAR(基本情報!$D$11)-IF(OR(MONTH(基本情報!$D$11)&gt;1,DAY(基本情報!$D$11)&gt;1),1,0)))</f>
        <v>44</v>
      </c>
      <c r="J57" s="169">
        <f>IF(OR(基本情報!$D$12="",C57&lt;=YEAR(基本情報!$D$12)),"",MAX(0,C57-YEAR(基本情報!$D$12)-IF(OR(MONTH(基本情報!$D$12)&gt;1,DAY(基本情報!$D$12)&gt;1),1,0)))</f>
        <v>42</v>
      </c>
      <c r="K57" s="197">
        <f>IF(D57="","",IF(D57&lt;基本情報!$C$15,MAX(0,収入計画!$D$5*(1+収入計画!$E$5)^(B57-1)),IF(AND(D57&gt;=基本情報!$C$15,D57&lt;基本情報!$C$20),MAX(0,基本情報!$C$19*(収入計画!$D$5/収入計画!$C$5)),0)))</f>
        <v>0</v>
      </c>
      <c r="L57" s="170">
        <f>IF(E57="","",IF(E57&lt;基本情報!$D$15,IF(E57&lt;MAX(収入計画!$C$11,収入計画!$C$14,収入計画!$C$17,収入計画!$C$20,収入計画!$C$23),MAX(0,収入計画!$D$6*0.5*(1+収入計画!$E$6)^(B57-1)),MAX(0,収入計画!$D$6*(1+収入計画!$E$6)^(B57-1))),IF(AND(E57&gt;=基本情報!$D$15,E57&lt;基本情報!$D$20),MAX(0,基本情報!$D$19*(収入計画!$D$6/収入計画!$C$6)),0)))</f>
        <v>0</v>
      </c>
      <c r="M57" s="170">
        <f>IF(OR(D57="",E57=""),"",IF(D57=基本情報!$C$15,基本情報!$C$16,0)+IF(E57=基本情報!$D$15,基本情報!$D$16,0))</f>
        <v>0</v>
      </c>
      <c r="N57" s="170">
        <f>IF(D57="","",IF(OR(D57&gt;=基本情報!$C$17,E57&gt;=基本情報!$D$17),MAX(0,IF(D57&gt;=基本情報!$C$17,基本情報!$C$18*12,0)+IF(AND(E57&lt;&gt;"",E57&gt;=基本情報!$D$17),基本情報!$D$18*12,0)),""))</f>
        <v>312</v>
      </c>
      <c r="O57" s="170">
        <f t="shared" si="4"/>
        <v>0</v>
      </c>
      <c r="P57" s="205">
        <f t="shared" si="5"/>
        <v>312</v>
      </c>
      <c r="Q57" s="171">
        <f>IF(D57&lt;基本情報!$C$17,支出計画!$C$5*(1+支出計画!$D$5)^(B57-1),支出計画!$C$6*(1+支出計画!$D$6)^(D57-基本情報!$C$17))-IF(AND(F57&gt;=22,F57&lt;&gt;""),支出計画!$C$45,0)</f>
        <v>200.43496555374392</v>
      </c>
      <c r="R57" s="170">
        <f>IF(C57&lt;住宅ローン償還表!$C$9,支出計画!$C$7,0)</f>
        <v>0</v>
      </c>
      <c r="S57" s="170">
        <f>IFERROR(VLOOKUP(C57,住宅ローン償還表!$C$17:$H$46,6,FALSE()),0)</f>
        <v>0</v>
      </c>
      <c r="T57" s="197">
        <f>(IF(ライフイベント表!F56="",0,IF(AND(ライフイベント表!F56&gt;=0,ライフイベント表!F56&lt;=5),支出計画!$D$24,IF(AND(ライフイベント表!F56&gt;=6,ライフイベント表!F56&lt;=11),支出計画!$D$25,IF(AND(ライフイベント表!F56&gt;=12,ライフイベント表!F56&lt;=14),支出計画!$D$26,IF(AND(ライフイベント表!F56&gt;=15,ライフイベント表!F56&lt;=17),支出計画!$D$27,IF(ライフイベント表!F56=18,支出計画!$D$28,IF(AND(ライフイベント表!F56&gt;=19,ライフイベント表!F56&lt;=21),支出計画!$D$29,0)))))))+IF(ライフイベント表!G56="",0,IF(AND(ライフイベント表!G56&gt;=0,ライフイベント表!G56&lt;=5),支出計画!$D$24,IF(AND(ライフイベント表!G56&gt;=6,ライフイベント表!G56&lt;=11),支出計画!$D$25,IF(AND(ライフイベント表!G56&gt;=12,ライフイベント表!G56&lt;=14),支出計画!$D$26,IF(AND(ライフイベント表!G56&gt;=15,ライフイベント表!G56&lt;=17),支出計画!$D$27,IF(ライフイベント表!G56=18,支出計画!$D$28,IF(AND(ライフイベント表!G56&gt;=19,ライフイベント表!G56&lt;=21),支出計画!$D$29,0)))))))+IF(ライフイベント表!H56="",0,IF(AND(ライフイベント表!H56&gt;=0,ライフイベント表!H56&lt;=5),支出計画!$D$24,IF(AND(ライフイベント表!H56&gt;=6,ライフイベント表!H56&lt;=11),支出計画!$D$25,IF(AND(ライフイベント表!H56&gt;=12,ライフイベント表!H56&lt;=14),支出計画!$D$26,IF(AND(ライフイベント表!H56&gt;=15,ライフイベント表!H56&lt;=17),支出計画!$D$27,IF(ライフイベント表!H56=18,支出計画!$D$28,IF(AND(ライフイベント表!H56&gt;=19,ライフイベント表!H56&lt;=21),支出計画!$D$29,0)))))))+IF(ライフイベント表!I56="",0,IF(AND(ライフイベント表!I56&gt;=0,ライフイベント表!I56&lt;=5),支出計画!$D$24,IF(AND(ライフイベント表!I56&gt;=6,ライフイベント表!I56&lt;=11),支出計画!$D$25,IF(AND(ライフイベント表!I56&gt;=12,ライフイベント表!I56&lt;=14),支出計画!$D$26,IF(AND(ライフイベント表!I56&gt;=15,ライフイベント表!I56&lt;=17),支出計画!$D$27,IF(ライフイベント表!I56=18,支出計画!$D$28,IF(AND(ライフイベント表!I56&gt;=19,ライフイベント表!I56&lt;=21),支出計画!$D$29,0)))))))+IF(ライフイベント表!J56="",0,IF(AND(ライフイベント表!J56&gt;=0,ライフイベント表!J56&lt;=5),支出計画!$D$24,IF(AND(ライフイベント表!J56&gt;=6,ライフイベント表!J56&lt;=11),支出計画!$D$25,IF(AND(ライフイベント表!J56&gt;=12,ライフイベント表!J56&lt;=14),支出計画!$D$26,IF(AND(ライフイベント表!J56&gt;=15,ライフイベント表!J56&lt;=17),支出計画!$D$27,IF(ライフイベント表!J56=18,支出計画!$D$28,IF(AND(ライフイベント表!J56&gt;=19,ライフイベント表!J56&lt;=21),支出計画!$D$29,0))))))))*POWER(1.02,B57-1)</f>
        <v>0</v>
      </c>
      <c r="U57" s="171">
        <f>SUMPRODUCT((保険!$G$5:$G$12&lt;=C57)*(保険!$H$5:$H$12&gt;=C57)*保険!$F$5:$F$12)</f>
        <v>7</v>
      </c>
      <c r="V57" s="171">
        <f>支出計画!$C$9</f>
        <v>36</v>
      </c>
      <c r="W57" s="170">
        <f>IF(AND(C57&gt;=支出計画!$D$35,C57&lt;=支出計画!$F$35,MOD(C57-支出計画!$D$35,支出計画!$E$35)=0),支出計画!$C$35,0)+IF(AND(C57&gt;=支出計画!$D$36,C57&lt;=支出計画!$F$36,MOD(C57-支出計画!$D$36,支出計画!$E$36)=0),支出計画!$C$36,0)+IF(C57=支出計画!$D$37,支出計画!$C$37,0)+IF(C57=支出計画!$D$38,支出計画!$C$38,0)</f>
        <v>0</v>
      </c>
      <c r="X57" s="172">
        <f t="shared" si="6"/>
        <v>243.43496555374392</v>
      </c>
      <c r="Y57" s="172">
        <f t="shared" si="7"/>
        <v>68.565034446256078</v>
      </c>
      <c r="Z57" s="172">
        <f>Z56*(1+金融資産!$C$15)+Y57</f>
        <v>731.05631082522609</v>
      </c>
      <c r="AA57" s="1"/>
      <c r="AB57" s="1"/>
    </row>
    <row r="58" spans="1:28" ht="15" customHeight="1">
      <c r="A58" s="1"/>
      <c r="B58" s="167">
        <v>54</v>
      </c>
      <c r="C58" s="168">
        <f>基本情報!$C$3+B58-1</f>
        <v>2075</v>
      </c>
      <c r="D58" s="200">
        <f>IF(基本情報!$D$6="","",C58-YEAR(基本情報!$D$6)-IF(OR(MONTH(基本情報!$D$6)&gt;1,DAY(基本情報!$D$6)&gt;1),1,0))</f>
        <v>88</v>
      </c>
      <c r="E58" s="168">
        <f>IF(基本情報!$D$7="","",C58-YEAR(基本情報!$D$7)-IF(OR(MONTH(基本情報!$D$7)&gt;1,DAY(基本情報!$D$7)&gt;1),1,0))</f>
        <v>87</v>
      </c>
      <c r="F58" s="169">
        <f>IF(OR(基本情報!$D$8="",C58&lt;=YEAR(基本情報!$D$8)),"",MAX(0,C58-YEAR(基本情報!$D$8)-IF(OR(MONTH(基本情報!$D$8)&gt;1,DAY(基本情報!$D$8)&gt;1),1,0)))</f>
        <v>56</v>
      </c>
      <c r="G58" s="169">
        <f>IF(OR(基本情報!$D$9="",C58&lt;=YEAR(基本情報!$D$9)),"",MAX(0,C58-YEAR(基本情報!$D$9)-IF(OR(MONTH(基本情報!$D$9)&gt;1,DAY(基本情報!$D$9)&gt;1),1,0)))</f>
        <v>54</v>
      </c>
      <c r="H58" s="169">
        <f>IF(OR(基本情報!$D$10="",C58&lt;=YEAR(基本情報!$D$10)),"",MAX(0,C58-YEAR(基本情報!$D$10)-IF(OR(MONTH(基本情報!$D$10)&gt;1,DAY(基本情報!$D$10)&gt;1),1,0)))</f>
        <v>47</v>
      </c>
      <c r="I58" s="169">
        <f>IF(OR(基本情報!$D$11="",C58&lt;=YEAR(基本情報!$D$11)),"",MAX(0,C58-YEAR(基本情報!$D$11)-IF(OR(MONTH(基本情報!$D$11)&gt;1,DAY(基本情報!$D$11)&gt;1),1,0)))</f>
        <v>45</v>
      </c>
      <c r="J58" s="169">
        <f>IF(OR(基本情報!$D$12="",C58&lt;=YEAR(基本情報!$D$12)),"",MAX(0,C58-YEAR(基本情報!$D$12)-IF(OR(MONTH(基本情報!$D$12)&gt;1,DAY(基本情報!$D$12)&gt;1),1,0)))</f>
        <v>43</v>
      </c>
      <c r="K58" s="197">
        <f>IF(D58="","",IF(D58&lt;基本情報!$C$15,MAX(0,収入計画!$D$5*(1+収入計画!$E$5)^(B58-1)),IF(AND(D58&gt;=基本情報!$C$15,D58&lt;基本情報!$C$20),MAX(0,基本情報!$C$19*(収入計画!$D$5/収入計画!$C$5)),0)))</f>
        <v>0</v>
      </c>
      <c r="L58" s="170">
        <f>IF(E58="","",IF(E58&lt;基本情報!$D$15,IF(E58&lt;MAX(収入計画!$C$11,収入計画!$C$14,収入計画!$C$17,収入計画!$C$20,収入計画!$C$23),MAX(0,収入計画!$D$6*0.5*(1+収入計画!$E$6)^(B58-1)),MAX(0,収入計画!$D$6*(1+収入計画!$E$6)^(B58-1))),IF(AND(E58&gt;=基本情報!$D$15,E58&lt;基本情報!$D$20),MAX(0,基本情報!$D$19*(収入計画!$D$6/収入計画!$C$6)),0)))</f>
        <v>0</v>
      </c>
      <c r="M58" s="170">
        <f>IF(OR(D58="",E58=""),"",IF(D58=基本情報!$C$15,基本情報!$C$16,0)+IF(E58=基本情報!$D$15,基本情報!$D$16,0))</f>
        <v>0</v>
      </c>
      <c r="N58" s="170">
        <f>IF(D58="","",IF(OR(D58&gt;=基本情報!$C$17,E58&gt;=基本情報!$D$17),MAX(0,IF(D58&gt;=基本情報!$C$17,基本情報!$C$18*12,0)+IF(AND(E58&lt;&gt;"",E58&gt;=基本情報!$D$17),基本情報!$D$18*12,0)),""))</f>
        <v>312</v>
      </c>
      <c r="O58" s="170">
        <f t="shared" si="4"/>
        <v>0</v>
      </c>
      <c r="P58" s="205">
        <f t="shared" si="5"/>
        <v>312</v>
      </c>
      <c r="Q58" s="171">
        <f>IF(D58&lt;基本情報!$C$17,支出計画!$C$5*(1+支出計画!$D$5)^(B58-1),支出計画!$C$6*(1+支出計画!$D$6)^(D58-基本情報!$C$17))-IF(AND(F58&gt;=22,F58&lt;&gt;""),支出計画!$C$45,0)</f>
        <v>199.25279072597519</v>
      </c>
      <c r="R58" s="170">
        <f>IF(C58&lt;住宅ローン償還表!$C$9,支出計画!$C$7,0)</f>
        <v>0</v>
      </c>
      <c r="S58" s="170">
        <f>IFERROR(VLOOKUP(C58,住宅ローン償還表!$C$17:$H$46,6,FALSE()),0)</f>
        <v>0</v>
      </c>
      <c r="T58" s="197">
        <f>(IF(ライフイベント表!F57="",0,IF(AND(ライフイベント表!F57&gt;=0,ライフイベント表!F57&lt;=5),支出計画!$D$24,IF(AND(ライフイベント表!F57&gt;=6,ライフイベント表!F57&lt;=11),支出計画!$D$25,IF(AND(ライフイベント表!F57&gt;=12,ライフイベント表!F57&lt;=14),支出計画!$D$26,IF(AND(ライフイベント表!F57&gt;=15,ライフイベント表!F57&lt;=17),支出計画!$D$27,IF(ライフイベント表!F57=18,支出計画!$D$28,IF(AND(ライフイベント表!F57&gt;=19,ライフイベント表!F57&lt;=21),支出計画!$D$29,0)))))))+IF(ライフイベント表!G57="",0,IF(AND(ライフイベント表!G57&gt;=0,ライフイベント表!G57&lt;=5),支出計画!$D$24,IF(AND(ライフイベント表!G57&gt;=6,ライフイベント表!G57&lt;=11),支出計画!$D$25,IF(AND(ライフイベント表!G57&gt;=12,ライフイベント表!G57&lt;=14),支出計画!$D$26,IF(AND(ライフイベント表!G57&gt;=15,ライフイベント表!G57&lt;=17),支出計画!$D$27,IF(ライフイベント表!G57=18,支出計画!$D$28,IF(AND(ライフイベント表!G57&gt;=19,ライフイベント表!G57&lt;=21),支出計画!$D$29,0)))))))+IF(ライフイベント表!H57="",0,IF(AND(ライフイベント表!H57&gt;=0,ライフイベント表!H57&lt;=5),支出計画!$D$24,IF(AND(ライフイベント表!H57&gt;=6,ライフイベント表!H57&lt;=11),支出計画!$D$25,IF(AND(ライフイベント表!H57&gt;=12,ライフイベント表!H57&lt;=14),支出計画!$D$26,IF(AND(ライフイベント表!H57&gt;=15,ライフイベント表!H57&lt;=17),支出計画!$D$27,IF(ライフイベント表!H57=18,支出計画!$D$28,IF(AND(ライフイベント表!H57&gt;=19,ライフイベント表!H57&lt;=21),支出計画!$D$29,0)))))))+IF(ライフイベント表!I57="",0,IF(AND(ライフイベント表!I57&gt;=0,ライフイベント表!I57&lt;=5),支出計画!$D$24,IF(AND(ライフイベント表!I57&gt;=6,ライフイベント表!I57&lt;=11),支出計画!$D$25,IF(AND(ライフイベント表!I57&gt;=12,ライフイベント表!I57&lt;=14),支出計画!$D$26,IF(AND(ライフイベント表!I57&gt;=15,ライフイベント表!I57&lt;=17),支出計画!$D$27,IF(ライフイベント表!I57=18,支出計画!$D$28,IF(AND(ライフイベント表!I57&gt;=19,ライフイベント表!I57&lt;=21),支出計画!$D$29,0)))))))+IF(ライフイベント表!J57="",0,IF(AND(ライフイベント表!J57&gt;=0,ライフイベント表!J57&lt;=5),支出計画!$D$24,IF(AND(ライフイベント表!J57&gt;=6,ライフイベント表!J57&lt;=11),支出計画!$D$25,IF(AND(ライフイベント表!J57&gt;=12,ライフイベント表!J57&lt;=14),支出計画!$D$26,IF(AND(ライフイベント表!J57&gt;=15,ライフイベント表!J57&lt;=17),支出計画!$D$27,IF(ライフイベント表!J57=18,支出計画!$D$28,IF(AND(ライフイベント表!J57&gt;=19,ライフイベント表!J57&lt;=21),支出計画!$D$29,0))))))))*POWER(1.02,B58-1)</f>
        <v>0</v>
      </c>
      <c r="U58" s="171">
        <f>SUMPRODUCT((保険!$G$5:$G$12&lt;=C58)*(保険!$H$5:$H$12&gt;=C58)*保険!$F$5:$F$12)</f>
        <v>7</v>
      </c>
      <c r="V58" s="171">
        <f>支出計画!$C$9</f>
        <v>36</v>
      </c>
      <c r="W58" s="170">
        <f>IF(AND(C58&gt;=支出計画!$D$35,C58&lt;=支出計画!$F$35,MOD(C58-支出計画!$D$35,支出計画!$E$35)=0),支出計画!$C$35,0)+IF(AND(C58&gt;=支出計画!$D$36,C58&lt;=支出計画!$F$36,MOD(C58-支出計画!$D$36,支出計画!$E$36)=0),支出計画!$C$36,0)+IF(C58=支出計画!$D$37,支出計画!$C$37,0)+IF(C58=支出計画!$D$38,支出計画!$C$38,0)</f>
        <v>0</v>
      </c>
      <c r="X58" s="172">
        <f t="shared" si="6"/>
        <v>242.25279072597519</v>
      </c>
      <c r="Y58" s="172">
        <f t="shared" si="7"/>
        <v>69.747209274024812</v>
      </c>
      <c r="Z58" s="172">
        <f>Z57*(1+金融資産!$C$15)+Y58</f>
        <v>804.45880165337701</v>
      </c>
      <c r="AA58" s="1"/>
      <c r="AB58" s="1"/>
    </row>
    <row r="59" spans="1:28" ht="15" customHeight="1">
      <c r="A59" s="1"/>
      <c r="B59" s="167">
        <v>55</v>
      </c>
      <c r="C59" s="168">
        <f>基本情報!$C$3+B59-1</f>
        <v>2076</v>
      </c>
      <c r="D59" s="200">
        <f>IF(基本情報!$D$6="","",C59-YEAR(基本情報!$D$6)-IF(OR(MONTH(基本情報!$D$6)&gt;1,DAY(基本情報!$D$6)&gt;1),1,0))</f>
        <v>89</v>
      </c>
      <c r="E59" s="168">
        <f>IF(基本情報!$D$7="","",C59-YEAR(基本情報!$D$7)-IF(OR(MONTH(基本情報!$D$7)&gt;1,DAY(基本情報!$D$7)&gt;1),1,0))</f>
        <v>88</v>
      </c>
      <c r="F59" s="169">
        <f>IF(OR(基本情報!$D$8="",C59&lt;=YEAR(基本情報!$D$8)),"",MAX(0,C59-YEAR(基本情報!$D$8)-IF(OR(MONTH(基本情報!$D$8)&gt;1,DAY(基本情報!$D$8)&gt;1),1,0)))</f>
        <v>57</v>
      </c>
      <c r="G59" s="169">
        <f>IF(OR(基本情報!$D$9="",C59&lt;=YEAR(基本情報!$D$9)),"",MAX(0,C59-YEAR(基本情報!$D$9)-IF(OR(MONTH(基本情報!$D$9)&gt;1,DAY(基本情報!$D$9)&gt;1),1,0)))</f>
        <v>55</v>
      </c>
      <c r="H59" s="169">
        <f>IF(OR(基本情報!$D$10="",C59&lt;=YEAR(基本情報!$D$10)),"",MAX(0,C59-YEAR(基本情報!$D$10)-IF(OR(MONTH(基本情報!$D$10)&gt;1,DAY(基本情報!$D$10)&gt;1),1,0)))</f>
        <v>48</v>
      </c>
      <c r="I59" s="169">
        <f>IF(OR(基本情報!$D$11="",C59&lt;=YEAR(基本情報!$D$11)),"",MAX(0,C59-YEAR(基本情報!$D$11)-IF(OR(MONTH(基本情報!$D$11)&gt;1,DAY(基本情報!$D$11)&gt;1),1,0)))</f>
        <v>46</v>
      </c>
      <c r="J59" s="169">
        <f>IF(OR(基本情報!$D$12="",C59&lt;=YEAR(基本情報!$D$12)),"",MAX(0,C59-YEAR(基本情報!$D$12)-IF(OR(MONTH(基本情報!$D$12)&gt;1,DAY(基本情報!$D$12)&gt;1),1,0)))</f>
        <v>44</v>
      </c>
      <c r="K59" s="197">
        <f>IF(D59="","",IF(D59&lt;基本情報!$C$15,MAX(0,収入計画!$D$5*(1+収入計画!$E$5)^(B59-1)),IF(AND(D59&gt;=基本情報!$C$15,D59&lt;基本情報!$C$20),MAX(0,基本情報!$C$19*(収入計画!$D$5/収入計画!$C$5)),0)))</f>
        <v>0</v>
      </c>
      <c r="L59" s="170">
        <f>IF(E59="","",IF(E59&lt;基本情報!$D$15,IF(E59&lt;MAX(収入計画!$C$11,収入計画!$C$14,収入計画!$C$17,収入計画!$C$20,収入計画!$C$23),MAX(0,収入計画!$D$6*0.5*(1+収入計画!$E$6)^(B59-1)),MAX(0,収入計画!$D$6*(1+収入計画!$E$6)^(B59-1))),IF(AND(E59&gt;=基本情報!$D$15,E59&lt;基本情報!$D$20),MAX(0,基本情報!$D$19*(収入計画!$D$6/収入計画!$C$6)),0)))</f>
        <v>0</v>
      </c>
      <c r="M59" s="170">
        <f>IF(OR(D59="",E59=""),"",IF(D59=基本情報!$C$15,基本情報!$C$16,0)+IF(E59=基本情報!$D$15,基本情報!$D$16,0))</f>
        <v>0</v>
      </c>
      <c r="N59" s="170">
        <f>IF(D59="","",IF(OR(D59&gt;=基本情報!$C$17,E59&gt;=基本情報!$D$17),MAX(0,IF(D59&gt;=基本情報!$C$17,基本情報!$C$18*12,0)+IF(AND(E59&lt;&gt;"",E59&gt;=基本情報!$D$17),基本情報!$D$18*12,0)),""))</f>
        <v>312</v>
      </c>
      <c r="O59" s="170">
        <f t="shared" si="4"/>
        <v>0</v>
      </c>
      <c r="P59" s="205">
        <f t="shared" si="5"/>
        <v>312</v>
      </c>
      <c r="Q59" s="171">
        <f>IF(D59&lt;基本情報!$C$17,支出計画!$C$5*(1+支出計画!$D$5)^(B59-1),支出計画!$C$6*(1+支出計画!$D$6)^(D59-基本情報!$C$17))-IF(AND(F59&gt;=22,F59&lt;&gt;""),支出計画!$C$45,0)</f>
        <v>198.07652677234532</v>
      </c>
      <c r="R59" s="170">
        <f>IF(C59&lt;住宅ローン償還表!$C$9,支出計画!$C$7,0)</f>
        <v>0</v>
      </c>
      <c r="S59" s="170">
        <f>IFERROR(VLOOKUP(C59,住宅ローン償還表!$C$17:$H$46,6,FALSE()),0)</f>
        <v>0</v>
      </c>
      <c r="T59" s="197">
        <f>(IF(ライフイベント表!F58="",0,IF(AND(ライフイベント表!F58&gt;=0,ライフイベント表!F58&lt;=5),支出計画!$D$24,IF(AND(ライフイベント表!F58&gt;=6,ライフイベント表!F58&lt;=11),支出計画!$D$25,IF(AND(ライフイベント表!F58&gt;=12,ライフイベント表!F58&lt;=14),支出計画!$D$26,IF(AND(ライフイベント表!F58&gt;=15,ライフイベント表!F58&lt;=17),支出計画!$D$27,IF(ライフイベント表!F58=18,支出計画!$D$28,IF(AND(ライフイベント表!F58&gt;=19,ライフイベント表!F58&lt;=21),支出計画!$D$29,0)))))))+IF(ライフイベント表!G58="",0,IF(AND(ライフイベント表!G58&gt;=0,ライフイベント表!G58&lt;=5),支出計画!$D$24,IF(AND(ライフイベント表!G58&gt;=6,ライフイベント表!G58&lt;=11),支出計画!$D$25,IF(AND(ライフイベント表!G58&gt;=12,ライフイベント表!G58&lt;=14),支出計画!$D$26,IF(AND(ライフイベント表!G58&gt;=15,ライフイベント表!G58&lt;=17),支出計画!$D$27,IF(ライフイベント表!G58=18,支出計画!$D$28,IF(AND(ライフイベント表!G58&gt;=19,ライフイベント表!G58&lt;=21),支出計画!$D$29,0)))))))+IF(ライフイベント表!H58="",0,IF(AND(ライフイベント表!H58&gt;=0,ライフイベント表!H58&lt;=5),支出計画!$D$24,IF(AND(ライフイベント表!H58&gt;=6,ライフイベント表!H58&lt;=11),支出計画!$D$25,IF(AND(ライフイベント表!H58&gt;=12,ライフイベント表!H58&lt;=14),支出計画!$D$26,IF(AND(ライフイベント表!H58&gt;=15,ライフイベント表!H58&lt;=17),支出計画!$D$27,IF(ライフイベント表!H58=18,支出計画!$D$28,IF(AND(ライフイベント表!H58&gt;=19,ライフイベント表!H58&lt;=21),支出計画!$D$29,0)))))))+IF(ライフイベント表!I58="",0,IF(AND(ライフイベント表!I58&gt;=0,ライフイベント表!I58&lt;=5),支出計画!$D$24,IF(AND(ライフイベント表!I58&gt;=6,ライフイベント表!I58&lt;=11),支出計画!$D$25,IF(AND(ライフイベント表!I58&gt;=12,ライフイベント表!I58&lt;=14),支出計画!$D$26,IF(AND(ライフイベント表!I58&gt;=15,ライフイベント表!I58&lt;=17),支出計画!$D$27,IF(ライフイベント表!I58=18,支出計画!$D$28,IF(AND(ライフイベント表!I58&gt;=19,ライフイベント表!I58&lt;=21),支出計画!$D$29,0)))))))+IF(ライフイベント表!J58="",0,IF(AND(ライフイベント表!J58&gt;=0,ライフイベント表!J58&lt;=5),支出計画!$D$24,IF(AND(ライフイベント表!J58&gt;=6,ライフイベント表!J58&lt;=11),支出計画!$D$25,IF(AND(ライフイベント表!J58&gt;=12,ライフイベント表!J58&lt;=14),支出計画!$D$26,IF(AND(ライフイベント表!J58&gt;=15,ライフイベント表!J58&lt;=17),支出計画!$D$27,IF(ライフイベント表!J58=18,支出計画!$D$28,IF(AND(ライフイベント表!J58&gt;=19,ライフイベント表!J58&lt;=21),支出計画!$D$29,0))))))))*POWER(1.02,B59-1)</f>
        <v>0</v>
      </c>
      <c r="U59" s="171">
        <f>SUMPRODUCT((保険!$G$5:$G$12&lt;=C59)*(保険!$H$5:$H$12&gt;=C59)*保険!$F$5:$F$12)</f>
        <v>7</v>
      </c>
      <c r="V59" s="171">
        <f>支出計画!$C$9</f>
        <v>36</v>
      </c>
      <c r="W59" s="170">
        <f>IF(AND(C59&gt;=支出計画!$D$35,C59&lt;=支出計画!$F$35,MOD(C59-支出計画!$D$35,支出計画!$E$35)=0),支出計画!$C$35,0)+IF(AND(C59&gt;=支出計画!$D$36,C59&lt;=支出計画!$F$36,MOD(C59-支出計画!$D$36,支出計画!$E$36)=0),支出計画!$C$36,0)+IF(C59=支出計画!$D$37,支出計画!$C$37,0)+IF(C59=支出計画!$D$38,支出計画!$C$38,0)</f>
        <v>0</v>
      </c>
      <c r="X59" s="172">
        <f t="shared" si="6"/>
        <v>241.07652677234532</v>
      </c>
      <c r="Y59" s="172">
        <f t="shared" si="7"/>
        <v>70.923473227654682</v>
      </c>
      <c r="Z59" s="172">
        <f>Z58*(1+金融資産!$C$15)+Y59</f>
        <v>879.4045688892985</v>
      </c>
      <c r="AA59" s="1"/>
      <c r="AB59" s="1"/>
    </row>
    <row r="60" spans="1:28" ht="15" customHeight="1">
      <c r="A60" s="1"/>
      <c r="B60" s="167">
        <v>56</v>
      </c>
      <c r="C60" s="168">
        <f>基本情報!$C$3+B60-1</f>
        <v>2077</v>
      </c>
      <c r="D60" s="200">
        <f>IF(基本情報!$D$6="","",C60-YEAR(基本情報!$D$6)-IF(OR(MONTH(基本情報!$D$6)&gt;1,DAY(基本情報!$D$6)&gt;1),1,0))</f>
        <v>90</v>
      </c>
      <c r="E60" s="168">
        <f>IF(基本情報!$D$7="","",C60-YEAR(基本情報!$D$7)-IF(OR(MONTH(基本情報!$D$7)&gt;1,DAY(基本情報!$D$7)&gt;1),1,0))</f>
        <v>89</v>
      </c>
      <c r="F60" s="169">
        <f>IF(OR(基本情報!$D$8="",C60&lt;=YEAR(基本情報!$D$8)),"",MAX(0,C60-YEAR(基本情報!$D$8)-IF(OR(MONTH(基本情報!$D$8)&gt;1,DAY(基本情報!$D$8)&gt;1),1,0)))</f>
        <v>58</v>
      </c>
      <c r="G60" s="169">
        <f>IF(OR(基本情報!$D$9="",C60&lt;=YEAR(基本情報!$D$9)),"",MAX(0,C60-YEAR(基本情報!$D$9)-IF(OR(MONTH(基本情報!$D$9)&gt;1,DAY(基本情報!$D$9)&gt;1),1,0)))</f>
        <v>56</v>
      </c>
      <c r="H60" s="169">
        <f>IF(OR(基本情報!$D$10="",C60&lt;=YEAR(基本情報!$D$10)),"",MAX(0,C60-YEAR(基本情報!$D$10)-IF(OR(MONTH(基本情報!$D$10)&gt;1,DAY(基本情報!$D$10)&gt;1),1,0)))</f>
        <v>49</v>
      </c>
      <c r="I60" s="169">
        <f>IF(OR(基本情報!$D$11="",C60&lt;=YEAR(基本情報!$D$11)),"",MAX(0,C60-YEAR(基本情報!$D$11)-IF(OR(MONTH(基本情報!$D$11)&gt;1,DAY(基本情報!$D$11)&gt;1),1,0)))</f>
        <v>47</v>
      </c>
      <c r="J60" s="169">
        <f>IF(OR(基本情報!$D$12="",C60&lt;=YEAR(基本情報!$D$12)),"",MAX(0,C60-YEAR(基本情報!$D$12)-IF(OR(MONTH(基本情報!$D$12)&gt;1,DAY(基本情報!$D$12)&gt;1),1,0)))</f>
        <v>45</v>
      </c>
      <c r="K60" s="197">
        <f>IF(D60="","",IF(D60&lt;基本情報!$C$15,MAX(0,収入計画!$D$5*(1+収入計画!$E$5)^(B60-1)),IF(AND(D60&gt;=基本情報!$C$15,D60&lt;基本情報!$C$20),MAX(0,基本情報!$C$19*(収入計画!$D$5/収入計画!$C$5)),0)))</f>
        <v>0</v>
      </c>
      <c r="L60" s="170">
        <f>IF(E60="","",IF(E60&lt;基本情報!$D$15,IF(E60&lt;MAX(収入計画!$C$11,収入計画!$C$14,収入計画!$C$17,収入計画!$C$20,収入計画!$C$23),MAX(0,収入計画!$D$6*0.5*(1+収入計画!$E$6)^(B60-1)),MAX(0,収入計画!$D$6*(1+収入計画!$E$6)^(B60-1))),IF(AND(E60&gt;=基本情報!$D$15,E60&lt;基本情報!$D$20),MAX(0,基本情報!$D$19*(収入計画!$D$6/収入計画!$C$6)),0)))</f>
        <v>0</v>
      </c>
      <c r="M60" s="170">
        <f>IF(OR(D60="",E60=""),"",IF(D60=基本情報!$C$15,基本情報!$C$16,0)+IF(E60=基本情報!$D$15,基本情報!$D$16,0))</f>
        <v>0</v>
      </c>
      <c r="N60" s="170">
        <f>IF(D60="","",IF(OR(D60&gt;=基本情報!$C$17,E60&gt;=基本情報!$D$17),MAX(0,IF(D60&gt;=基本情報!$C$17,基本情報!$C$18*12,0)+IF(AND(E60&lt;&gt;"",E60&gt;=基本情報!$D$17),基本情報!$D$18*12,0)),""))</f>
        <v>312</v>
      </c>
      <c r="O60" s="170">
        <f t="shared" si="4"/>
        <v>0</v>
      </c>
      <c r="P60" s="205">
        <f t="shared" si="5"/>
        <v>312</v>
      </c>
      <c r="Q60" s="171">
        <f>IF(D60&lt;基本情報!$C$17,支出計画!$C$5*(1+支出計画!$D$5)^(B60-1),支出計画!$C$6*(1+支出計画!$D$6)^(D60-基本情報!$C$17))-IF(AND(F60&gt;=22,F60&lt;&gt;""),支出計画!$C$45,0)</f>
        <v>196.9061441384836</v>
      </c>
      <c r="R60" s="170">
        <f>IF(C60&lt;住宅ローン償還表!$C$9,支出計画!$C$7,0)</f>
        <v>0</v>
      </c>
      <c r="S60" s="170">
        <f>IFERROR(VLOOKUP(C60,住宅ローン償還表!$C$17:$H$46,6,FALSE()),0)</f>
        <v>0</v>
      </c>
      <c r="T60" s="197">
        <f>(IF(ライフイベント表!F59="",0,IF(AND(ライフイベント表!F59&gt;=0,ライフイベント表!F59&lt;=5),支出計画!$D$24,IF(AND(ライフイベント表!F59&gt;=6,ライフイベント表!F59&lt;=11),支出計画!$D$25,IF(AND(ライフイベント表!F59&gt;=12,ライフイベント表!F59&lt;=14),支出計画!$D$26,IF(AND(ライフイベント表!F59&gt;=15,ライフイベント表!F59&lt;=17),支出計画!$D$27,IF(ライフイベント表!F59=18,支出計画!$D$28,IF(AND(ライフイベント表!F59&gt;=19,ライフイベント表!F59&lt;=21),支出計画!$D$29,0)))))))+IF(ライフイベント表!G59="",0,IF(AND(ライフイベント表!G59&gt;=0,ライフイベント表!G59&lt;=5),支出計画!$D$24,IF(AND(ライフイベント表!G59&gt;=6,ライフイベント表!G59&lt;=11),支出計画!$D$25,IF(AND(ライフイベント表!G59&gt;=12,ライフイベント表!G59&lt;=14),支出計画!$D$26,IF(AND(ライフイベント表!G59&gt;=15,ライフイベント表!G59&lt;=17),支出計画!$D$27,IF(ライフイベント表!G59=18,支出計画!$D$28,IF(AND(ライフイベント表!G59&gt;=19,ライフイベント表!G59&lt;=21),支出計画!$D$29,0)))))))+IF(ライフイベント表!H59="",0,IF(AND(ライフイベント表!H59&gt;=0,ライフイベント表!H59&lt;=5),支出計画!$D$24,IF(AND(ライフイベント表!H59&gt;=6,ライフイベント表!H59&lt;=11),支出計画!$D$25,IF(AND(ライフイベント表!H59&gt;=12,ライフイベント表!H59&lt;=14),支出計画!$D$26,IF(AND(ライフイベント表!H59&gt;=15,ライフイベント表!H59&lt;=17),支出計画!$D$27,IF(ライフイベント表!H59=18,支出計画!$D$28,IF(AND(ライフイベント表!H59&gt;=19,ライフイベント表!H59&lt;=21),支出計画!$D$29,0)))))))+IF(ライフイベント表!I59="",0,IF(AND(ライフイベント表!I59&gt;=0,ライフイベント表!I59&lt;=5),支出計画!$D$24,IF(AND(ライフイベント表!I59&gt;=6,ライフイベント表!I59&lt;=11),支出計画!$D$25,IF(AND(ライフイベント表!I59&gt;=12,ライフイベント表!I59&lt;=14),支出計画!$D$26,IF(AND(ライフイベント表!I59&gt;=15,ライフイベント表!I59&lt;=17),支出計画!$D$27,IF(ライフイベント表!I59=18,支出計画!$D$28,IF(AND(ライフイベント表!I59&gt;=19,ライフイベント表!I59&lt;=21),支出計画!$D$29,0)))))))+IF(ライフイベント表!J59="",0,IF(AND(ライフイベント表!J59&gt;=0,ライフイベント表!J59&lt;=5),支出計画!$D$24,IF(AND(ライフイベント表!J59&gt;=6,ライフイベント表!J59&lt;=11),支出計画!$D$25,IF(AND(ライフイベント表!J59&gt;=12,ライフイベント表!J59&lt;=14),支出計画!$D$26,IF(AND(ライフイベント表!J59&gt;=15,ライフイベント表!J59&lt;=17),支出計画!$D$27,IF(ライフイベント表!J59=18,支出計画!$D$28,IF(AND(ライフイベント表!J59&gt;=19,ライフイベント表!J59&lt;=21),支出計画!$D$29,0))))))))*POWER(1.02,B60-1)</f>
        <v>0</v>
      </c>
      <c r="U60" s="171">
        <f>SUMPRODUCT((保険!$G$5:$G$12&lt;=C60)*(保険!$H$5:$H$12&gt;=C60)*保険!$F$5:$F$12)</f>
        <v>7</v>
      </c>
      <c r="V60" s="171">
        <f>支出計画!$C$9</f>
        <v>36</v>
      </c>
      <c r="W60" s="170">
        <f>IF(AND(C60&gt;=支出計画!$D$35,C60&lt;=支出計画!$F$35,MOD(C60-支出計画!$D$35,支出計画!$E$35)=0),支出計画!$C$35,0)+IF(AND(C60&gt;=支出計画!$D$36,C60&lt;=支出計画!$F$36,MOD(C60-支出計画!$D$36,支出計画!$E$36)=0),支出計画!$C$36,0)+IF(C60=支出計画!$D$37,支出計画!$C$37,0)+IF(C60=支出計画!$D$38,支出計画!$C$38,0)</f>
        <v>0</v>
      </c>
      <c r="X60" s="172">
        <f t="shared" si="6"/>
        <v>239.9061441384836</v>
      </c>
      <c r="Y60" s="172">
        <f t="shared" si="7"/>
        <v>72.093855861516403</v>
      </c>
      <c r="Z60" s="172">
        <f>Z59*(1+金融資産!$C$15)+Y60</f>
        <v>955.89544759526132</v>
      </c>
      <c r="AA60" s="1"/>
      <c r="AB60" s="1"/>
    </row>
    <row r="61" spans="1:28" ht="15" customHeight="1">
      <c r="A61" s="1"/>
      <c r="B61" s="167">
        <v>57</v>
      </c>
      <c r="C61" s="168">
        <f>基本情報!$C$3+B61-1</f>
        <v>2078</v>
      </c>
      <c r="D61" s="200">
        <f>IF(基本情報!$D$6="","",C61-YEAR(基本情報!$D$6)-IF(OR(MONTH(基本情報!$D$6)&gt;1,DAY(基本情報!$D$6)&gt;1),1,0))</f>
        <v>91</v>
      </c>
      <c r="E61" s="168">
        <f>IF(基本情報!$D$7="","",C61-YEAR(基本情報!$D$7)-IF(OR(MONTH(基本情報!$D$7)&gt;1,DAY(基本情報!$D$7)&gt;1),1,0))</f>
        <v>90</v>
      </c>
      <c r="F61" s="169">
        <f>IF(OR(基本情報!$D$8="",C61&lt;=YEAR(基本情報!$D$8)),"",MAX(0,C61-YEAR(基本情報!$D$8)-IF(OR(MONTH(基本情報!$D$8)&gt;1,DAY(基本情報!$D$8)&gt;1),1,0)))</f>
        <v>59</v>
      </c>
      <c r="G61" s="169">
        <f>IF(OR(基本情報!$D$9="",C61&lt;=YEAR(基本情報!$D$9)),"",MAX(0,C61-YEAR(基本情報!$D$9)-IF(OR(MONTH(基本情報!$D$9)&gt;1,DAY(基本情報!$D$9)&gt;1),1,0)))</f>
        <v>57</v>
      </c>
      <c r="H61" s="169">
        <f>IF(OR(基本情報!$D$10="",C61&lt;=YEAR(基本情報!$D$10)),"",MAX(0,C61-YEAR(基本情報!$D$10)-IF(OR(MONTH(基本情報!$D$10)&gt;1,DAY(基本情報!$D$10)&gt;1),1,0)))</f>
        <v>50</v>
      </c>
      <c r="I61" s="169">
        <f>IF(OR(基本情報!$D$11="",C61&lt;=YEAR(基本情報!$D$11)),"",MAX(0,C61-YEAR(基本情報!$D$11)-IF(OR(MONTH(基本情報!$D$11)&gt;1,DAY(基本情報!$D$11)&gt;1),1,0)))</f>
        <v>48</v>
      </c>
      <c r="J61" s="169">
        <f>IF(OR(基本情報!$D$12="",C61&lt;=YEAR(基本情報!$D$12)),"",MAX(0,C61-YEAR(基本情報!$D$12)-IF(OR(MONTH(基本情報!$D$12)&gt;1,DAY(基本情報!$D$12)&gt;1),1,0)))</f>
        <v>46</v>
      </c>
      <c r="K61" s="197">
        <f>IF(D61="","",IF(D61&lt;基本情報!$C$15,MAX(0,収入計画!$D$5*(1+収入計画!$E$5)^(B61-1)),IF(AND(D61&gt;=基本情報!$C$15,D61&lt;基本情報!$C$20),MAX(0,基本情報!$C$19*(収入計画!$D$5/収入計画!$C$5)),0)))</f>
        <v>0</v>
      </c>
      <c r="L61" s="170">
        <f>IF(E61="","",IF(E61&lt;基本情報!$D$15,IF(E61&lt;MAX(収入計画!$C$11,収入計画!$C$14,収入計画!$C$17,収入計画!$C$20,収入計画!$C$23),MAX(0,収入計画!$D$6*0.5*(1+収入計画!$E$6)^(B61-1)),MAX(0,収入計画!$D$6*(1+収入計画!$E$6)^(B61-1))),IF(AND(E61&gt;=基本情報!$D$15,E61&lt;基本情報!$D$20),MAX(0,基本情報!$D$19*(収入計画!$D$6/収入計画!$C$6)),0)))</f>
        <v>0</v>
      </c>
      <c r="M61" s="170">
        <f>IF(OR(D61="",E61=""),"",IF(D61=基本情報!$C$15,基本情報!$C$16,0)+IF(E61=基本情報!$D$15,基本情報!$D$16,0))</f>
        <v>0</v>
      </c>
      <c r="N61" s="170">
        <f>IF(D61="","",IF(OR(D61&gt;=基本情報!$C$17,E61&gt;=基本情報!$D$17),MAX(0,IF(D61&gt;=基本情報!$C$17,基本情報!$C$18*12,0)+IF(AND(E61&lt;&gt;"",E61&gt;=基本情報!$D$17),基本情報!$D$18*12,0)),""))</f>
        <v>312</v>
      </c>
      <c r="O61" s="170">
        <f t="shared" si="4"/>
        <v>0</v>
      </c>
      <c r="P61" s="205">
        <f t="shared" si="5"/>
        <v>312</v>
      </c>
      <c r="Q61" s="171">
        <f>IF(D61&lt;基本情報!$C$17,支出計画!$C$5*(1+支出計画!$D$5)^(B61-1),支出計画!$C$6*(1+支出計画!$D$6)^(D61-基本情報!$C$17))-IF(AND(F61&gt;=22,F61&lt;&gt;""),支出計画!$C$45,0)</f>
        <v>195.7416134177912</v>
      </c>
      <c r="R61" s="170">
        <f>IF(C61&lt;住宅ローン償還表!$C$9,支出計画!$C$7,0)</f>
        <v>0</v>
      </c>
      <c r="S61" s="170">
        <f>IFERROR(VLOOKUP(C61,住宅ローン償還表!$C$17:$H$46,6,FALSE()),0)</f>
        <v>0</v>
      </c>
      <c r="T61" s="197">
        <f>(IF(ライフイベント表!F60="",0,IF(AND(ライフイベント表!F60&gt;=0,ライフイベント表!F60&lt;=5),支出計画!$D$24,IF(AND(ライフイベント表!F60&gt;=6,ライフイベント表!F60&lt;=11),支出計画!$D$25,IF(AND(ライフイベント表!F60&gt;=12,ライフイベント表!F60&lt;=14),支出計画!$D$26,IF(AND(ライフイベント表!F60&gt;=15,ライフイベント表!F60&lt;=17),支出計画!$D$27,IF(ライフイベント表!F60=18,支出計画!$D$28,IF(AND(ライフイベント表!F60&gt;=19,ライフイベント表!F60&lt;=21),支出計画!$D$29,0)))))))+IF(ライフイベント表!G60="",0,IF(AND(ライフイベント表!G60&gt;=0,ライフイベント表!G60&lt;=5),支出計画!$D$24,IF(AND(ライフイベント表!G60&gt;=6,ライフイベント表!G60&lt;=11),支出計画!$D$25,IF(AND(ライフイベント表!G60&gt;=12,ライフイベント表!G60&lt;=14),支出計画!$D$26,IF(AND(ライフイベント表!G60&gt;=15,ライフイベント表!G60&lt;=17),支出計画!$D$27,IF(ライフイベント表!G60=18,支出計画!$D$28,IF(AND(ライフイベント表!G60&gt;=19,ライフイベント表!G60&lt;=21),支出計画!$D$29,0)))))))+IF(ライフイベント表!H60="",0,IF(AND(ライフイベント表!H60&gt;=0,ライフイベント表!H60&lt;=5),支出計画!$D$24,IF(AND(ライフイベント表!H60&gt;=6,ライフイベント表!H60&lt;=11),支出計画!$D$25,IF(AND(ライフイベント表!H60&gt;=12,ライフイベント表!H60&lt;=14),支出計画!$D$26,IF(AND(ライフイベント表!H60&gt;=15,ライフイベント表!H60&lt;=17),支出計画!$D$27,IF(ライフイベント表!H60=18,支出計画!$D$28,IF(AND(ライフイベント表!H60&gt;=19,ライフイベント表!H60&lt;=21),支出計画!$D$29,0)))))))+IF(ライフイベント表!I60="",0,IF(AND(ライフイベント表!I60&gt;=0,ライフイベント表!I60&lt;=5),支出計画!$D$24,IF(AND(ライフイベント表!I60&gt;=6,ライフイベント表!I60&lt;=11),支出計画!$D$25,IF(AND(ライフイベント表!I60&gt;=12,ライフイベント表!I60&lt;=14),支出計画!$D$26,IF(AND(ライフイベント表!I60&gt;=15,ライフイベント表!I60&lt;=17),支出計画!$D$27,IF(ライフイベント表!I60=18,支出計画!$D$28,IF(AND(ライフイベント表!I60&gt;=19,ライフイベント表!I60&lt;=21),支出計画!$D$29,0)))))))+IF(ライフイベント表!J60="",0,IF(AND(ライフイベント表!J60&gt;=0,ライフイベント表!J60&lt;=5),支出計画!$D$24,IF(AND(ライフイベント表!J60&gt;=6,ライフイベント表!J60&lt;=11),支出計画!$D$25,IF(AND(ライフイベント表!J60&gt;=12,ライフイベント表!J60&lt;=14),支出計画!$D$26,IF(AND(ライフイベント表!J60&gt;=15,ライフイベント表!J60&lt;=17),支出計画!$D$27,IF(ライフイベント表!J60=18,支出計画!$D$28,IF(AND(ライフイベント表!J60&gt;=19,ライフイベント表!J60&lt;=21),支出計画!$D$29,0))))))))*POWER(1.02,B61-1)</f>
        <v>0</v>
      </c>
      <c r="U61" s="171">
        <f>SUMPRODUCT((保険!$G$5:$G$12&lt;=C61)*(保険!$H$5:$H$12&gt;=C61)*保険!$F$5:$F$12)</f>
        <v>7</v>
      </c>
      <c r="V61" s="171">
        <f>支出計画!$C$9</f>
        <v>36</v>
      </c>
      <c r="W61" s="170">
        <f>IF(AND(C61&gt;=支出計画!$D$35,C61&lt;=支出計画!$F$35,MOD(C61-支出計画!$D$35,支出計画!$E$35)=0),支出計画!$C$35,0)+IF(AND(C61&gt;=支出計画!$D$36,C61&lt;=支出計画!$F$36,MOD(C61-支出計画!$D$36,支出計画!$E$36)=0),支出計画!$C$36,0)+IF(C61=支出計画!$D$37,支出計画!$C$37,0)+IF(C61=支出計画!$D$38,支出計画!$C$38,0)</f>
        <v>0</v>
      </c>
      <c r="X61" s="172">
        <f t="shared" si="6"/>
        <v>238.7416134177912</v>
      </c>
      <c r="Y61" s="172">
        <f t="shared" si="7"/>
        <v>73.2583865822088</v>
      </c>
      <c r="Z61" s="172">
        <f>Z60*(1+金融資産!$C$15)+Y61</f>
        <v>1033.9333114154463</v>
      </c>
      <c r="AA61" s="1"/>
      <c r="AB61" s="1"/>
    </row>
    <row r="62" spans="1:28" ht="15" customHeight="1">
      <c r="A62" s="1"/>
      <c r="B62" s="167">
        <v>58</v>
      </c>
      <c r="C62" s="168">
        <f>基本情報!$C$3+B62-1</f>
        <v>2079</v>
      </c>
      <c r="D62" s="200">
        <f>IF(基本情報!$D$6="","",C62-YEAR(基本情報!$D$6)-IF(OR(MONTH(基本情報!$D$6)&gt;1,DAY(基本情報!$D$6)&gt;1),1,0))</f>
        <v>92</v>
      </c>
      <c r="E62" s="168">
        <f>IF(基本情報!$D$7="","",C62-YEAR(基本情報!$D$7)-IF(OR(MONTH(基本情報!$D$7)&gt;1,DAY(基本情報!$D$7)&gt;1),1,0))</f>
        <v>91</v>
      </c>
      <c r="F62" s="169">
        <f>IF(OR(基本情報!$D$8="",C62&lt;=YEAR(基本情報!$D$8)),"",MAX(0,C62-YEAR(基本情報!$D$8)-IF(OR(MONTH(基本情報!$D$8)&gt;1,DAY(基本情報!$D$8)&gt;1),1,0)))</f>
        <v>60</v>
      </c>
      <c r="G62" s="169">
        <f>IF(OR(基本情報!$D$9="",C62&lt;=YEAR(基本情報!$D$9)),"",MAX(0,C62-YEAR(基本情報!$D$9)-IF(OR(MONTH(基本情報!$D$9)&gt;1,DAY(基本情報!$D$9)&gt;1),1,0)))</f>
        <v>58</v>
      </c>
      <c r="H62" s="169">
        <f>IF(OR(基本情報!$D$10="",C62&lt;=YEAR(基本情報!$D$10)),"",MAX(0,C62-YEAR(基本情報!$D$10)-IF(OR(MONTH(基本情報!$D$10)&gt;1,DAY(基本情報!$D$10)&gt;1),1,0)))</f>
        <v>51</v>
      </c>
      <c r="I62" s="169">
        <f>IF(OR(基本情報!$D$11="",C62&lt;=YEAR(基本情報!$D$11)),"",MAX(0,C62-YEAR(基本情報!$D$11)-IF(OR(MONTH(基本情報!$D$11)&gt;1,DAY(基本情報!$D$11)&gt;1),1,0)))</f>
        <v>49</v>
      </c>
      <c r="J62" s="169">
        <f>IF(OR(基本情報!$D$12="",C62&lt;=YEAR(基本情報!$D$12)),"",MAX(0,C62-YEAR(基本情報!$D$12)-IF(OR(MONTH(基本情報!$D$12)&gt;1,DAY(基本情報!$D$12)&gt;1),1,0)))</f>
        <v>47</v>
      </c>
      <c r="K62" s="197">
        <f>IF(D62="","",IF(D62&lt;基本情報!$C$15,MAX(0,収入計画!$D$5*(1+収入計画!$E$5)^(B62-1)),IF(AND(D62&gt;=基本情報!$C$15,D62&lt;基本情報!$C$20),MAX(0,基本情報!$C$19*(収入計画!$D$5/収入計画!$C$5)),0)))</f>
        <v>0</v>
      </c>
      <c r="L62" s="170">
        <f>IF(E62="","",IF(E62&lt;基本情報!$D$15,IF(E62&lt;MAX(収入計画!$C$11,収入計画!$C$14,収入計画!$C$17,収入計画!$C$20,収入計画!$C$23),MAX(0,収入計画!$D$6*0.5*(1+収入計画!$E$6)^(B62-1)),MAX(0,収入計画!$D$6*(1+収入計画!$E$6)^(B62-1))),IF(AND(E62&gt;=基本情報!$D$15,E62&lt;基本情報!$D$20),MAX(0,基本情報!$D$19*(収入計画!$D$6/収入計画!$C$6)),0)))</f>
        <v>0</v>
      </c>
      <c r="M62" s="170">
        <f>IF(OR(D62="",E62=""),"",IF(D62=基本情報!$C$15,基本情報!$C$16,0)+IF(E62=基本情報!$D$15,基本情報!$D$16,0))</f>
        <v>0</v>
      </c>
      <c r="N62" s="170">
        <f>IF(D62="","",IF(OR(D62&gt;=基本情報!$C$17,E62&gt;=基本情報!$D$17),MAX(0,IF(D62&gt;=基本情報!$C$17,基本情報!$C$18*12,0)+IF(AND(E62&lt;&gt;"",E62&gt;=基本情報!$D$17),基本情報!$D$18*12,0)),""))</f>
        <v>312</v>
      </c>
      <c r="O62" s="170">
        <f t="shared" si="4"/>
        <v>0</v>
      </c>
      <c r="P62" s="205">
        <f t="shared" si="5"/>
        <v>312</v>
      </c>
      <c r="Q62" s="171">
        <f>IF(D62&lt;基本情報!$C$17,支出計画!$C$5*(1+支出計画!$D$5)^(B62-1),支出計画!$C$6*(1+支出計画!$D$6)^(D62-基本情報!$C$17))-IF(AND(F62&gt;=22,F62&lt;&gt;""),支出計画!$C$45,0)</f>
        <v>194.58290535070222</v>
      </c>
      <c r="R62" s="170">
        <f>IF(C62&lt;住宅ローン償還表!$C$9,支出計画!$C$7,0)</f>
        <v>0</v>
      </c>
      <c r="S62" s="170">
        <f>IFERROR(VLOOKUP(C62,住宅ローン償還表!$C$17:$H$46,6,FALSE()),0)</f>
        <v>0</v>
      </c>
      <c r="T62" s="197">
        <f>(IF(ライフイベント表!F61="",0,IF(AND(ライフイベント表!F61&gt;=0,ライフイベント表!F61&lt;=5),支出計画!$D$24,IF(AND(ライフイベント表!F61&gt;=6,ライフイベント表!F61&lt;=11),支出計画!$D$25,IF(AND(ライフイベント表!F61&gt;=12,ライフイベント表!F61&lt;=14),支出計画!$D$26,IF(AND(ライフイベント表!F61&gt;=15,ライフイベント表!F61&lt;=17),支出計画!$D$27,IF(ライフイベント表!F61=18,支出計画!$D$28,IF(AND(ライフイベント表!F61&gt;=19,ライフイベント表!F61&lt;=21),支出計画!$D$29,0)))))))+IF(ライフイベント表!G61="",0,IF(AND(ライフイベント表!G61&gt;=0,ライフイベント表!G61&lt;=5),支出計画!$D$24,IF(AND(ライフイベント表!G61&gt;=6,ライフイベント表!G61&lt;=11),支出計画!$D$25,IF(AND(ライフイベント表!G61&gt;=12,ライフイベント表!G61&lt;=14),支出計画!$D$26,IF(AND(ライフイベント表!G61&gt;=15,ライフイベント表!G61&lt;=17),支出計画!$D$27,IF(ライフイベント表!G61=18,支出計画!$D$28,IF(AND(ライフイベント表!G61&gt;=19,ライフイベント表!G61&lt;=21),支出計画!$D$29,0)))))))+IF(ライフイベント表!H61="",0,IF(AND(ライフイベント表!H61&gt;=0,ライフイベント表!H61&lt;=5),支出計画!$D$24,IF(AND(ライフイベント表!H61&gt;=6,ライフイベント表!H61&lt;=11),支出計画!$D$25,IF(AND(ライフイベント表!H61&gt;=12,ライフイベント表!H61&lt;=14),支出計画!$D$26,IF(AND(ライフイベント表!H61&gt;=15,ライフイベント表!H61&lt;=17),支出計画!$D$27,IF(ライフイベント表!H61=18,支出計画!$D$28,IF(AND(ライフイベント表!H61&gt;=19,ライフイベント表!H61&lt;=21),支出計画!$D$29,0)))))))+IF(ライフイベント表!I61="",0,IF(AND(ライフイベント表!I61&gt;=0,ライフイベント表!I61&lt;=5),支出計画!$D$24,IF(AND(ライフイベント表!I61&gt;=6,ライフイベント表!I61&lt;=11),支出計画!$D$25,IF(AND(ライフイベント表!I61&gt;=12,ライフイベント表!I61&lt;=14),支出計画!$D$26,IF(AND(ライフイベント表!I61&gt;=15,ライフイベント表!I61&lt;=17),支出計画!$D$27,IF(ライフイベント表!I61=18,支出計画!$D$28,IF(AND(ライフイベント表!I61&gt;=19,ライフイベント表!I61&lt;=21),支出計画!$D$29,0)))))))+IF(ライフイベント表!J61="",0,IF(AND(ライフイベント表!J61&gt;=0,ライフイベント表!J61&lt;=5),支出計画!$D$24,IF(AND(ライフイベント表!J61&gt;=6,ライフイベント表!J61&lt;=11),支出計画!$D$25,IF(AND(ライフイベント表!J61&gt;=12,ライフイベント表!J61&lt;=14),支出計画!$D$26,IF(AND(ライフイベント表!J61&gt;=15,ライフイベント表!J61&lt;=17),支出計画!$D$27,IF(ライフイベント表!J61=18,支出計画!$D$28,IF(AND(ライフイベント表!J61&gt;=19,ライフイベント表!J61&lt;=21),支出計画!$D$29,0))))))))*POWER(1.02,B62-1)</f>
        <v>0</v>
      </c>
      <c r="U62" s="171">
        <f>SUMPRODUCT((保険!$G$5:$G$12&lt;=C62)*(保険!$H$5:$H$12&gt;=C62)*保険!$F$5:$F$12)</f>
        <v>7</v>
      </c>
      <c r="V62" s="171">
        <f>支出計画!$C$9</f>
        <v>36</v>
      </c>
      <c r="W62" s="170">
        <f>IF(AND(C62&gt;=支出計画!$D$35,C62&lt;=支出計画!$F$35,MOD(C62-支出計画!$D$35,支出計画!$E$35)=0),支出計画!$C$35,0)+IF(AND(C62&gt;=支出計画!$D$36,C62&lt;=支出計画!$F$36,MOD(C62-支出計画!$D$36,支出計画!$E$36)=0),支出計画!$C$36,0)+IF(C62=支出計画!$D$37,支出計画!$C$37,0)+IF(C62=支出計画!$D$38,支出計画!$C$38,0)</f>
        <v>0</v>
      </c>
      <c r="X62" s="172">
        <f t="shared" si="6"/>
        <v>237.58290535070222</v>
      </c>
      <c r="Y62" s="172">
        <f t="shared" si="7"/>
        <v>74.417094649297781</v>
      </c>
      <c r="Z62" s="172">
        <f>Z61*(1+金融資産!$C$15)+Y62</f>
        <v>1113.5200726218211</v>
      </c>
      <c r="AA62" s="1"/>
      <c r="AB62" s="1"/>
    </row>
    <row r="63" spans="1:28" ht="15" customHeight="1">
      <c r="A63" s="1"/>
      <c r="B63" s="167">
        <v>59</v>
      </c>
      <c r="C63" s="168">
        <f>基本情報!$C$3+B63-1</f>
        <v>2080</v>
      </c>
      <c r="D63" s="200">
        <f>IF(基本情報!$D$6="","",C63-YEAR(基本情報!$D$6)-IF(OR(MONTH(基本情報!$D$6)&gt;1,DAY(基本情報!$D$6)&gt;1),1,0))</f>
        <v>93</v>
      </c>
      <c r="E63" s="168">
        <f>IF(基本情報!$D$7="","",C63-YEAR(基本情報!$D$7)-IF(OR(MONTH(基本情報!$D$7)&gt;1,DAY(基本情報!$D$7)&gt;1),1,0))</f>
        <v>92</v>
      </c>
      <c r="F63" s="169">
        <f>IF(OR(基本情報!$D$8="",C63&lt;=YEAR(基本情報!$D$8)),"",MAX(0,C63-YEAR(基本情報!$D$8)-IF(OR(MONTH(基本情報!$D$8)&gt;1,DAY(基本情報!$D$8)&gt;1),1,0)))</f>
        <v>61</v>
      </c>
      <c r="G63" s="169">
        <f>IF(OR(基本情報!$D$9="",C63&lt;=YEAR(基本情報!$D$9)),"",MAX(0,C63-YEAR(基本情報!$D$9)-IF(OR(MONTH(基本情報!$D$9)&gt;1,DAY(基本情報!$D$9)&gt;1),1,0)))</f>
        <v>59</v>
      </c>
      <c r="H63" s="169">
        <f>IF(OR(基本情報!$D$10="",C63&lt;=YEAR(基本情報!$D$10)),"",MAX(0,C63-YEAR(基本情報!$D$10)-IF(OR(MONTH(基本情報!$D$10)&gt;1,DAY(基本情報!$D$10)&gt;1),1,0)))</f>
        <v>52</v>
      </c>
      <c r="I63" s="169">
        <f>IF(OR(基本情報!$D$11="",C63&lt;=YEAR(基本情報!$D$11)),"",MAX(0,C63-YEAR(基本情報!$D$11)-IF(OR(MONTH(基本情報!$D$11)&gt;1,DAY(基本情報!$D$11)&gt;1),1,0)))</f>
        <v>50</v>
      </c>
      <c r="J63" s="169">
        <f>IF(OR(基本情報!$D$12="",C63&lt;=YEAR(基本情報!$D$12)),"",MAX(0,C63-YEAR(基本情報!$D$12)-IF(OR(MONTH(基本情報!$D$12)&gt;1,DAY(基本情報!$D$12)&gt;1),1,0)))</f>
        <v>48</v>
      </c>
      <c r="K63" s="197">
        <f>IF(D63="","",IF(D63&lt;基本情報!$C$15,MAX(0,収入計画!$D$5*(1+収入計画!$E$5)^(B63-1)),IF(AND(D63&gt;=基本情報!$C$15,D63&lt;基本情報!$C$20),MAX(0,基本情報!$C$19*(収入計画!$D$5/収入計画!$C$5)),0)))</f>
        <v>0</v>
      </c>
      <c r="L63" s="170">
        <f>IF(E63="","",IF(E63&lt;基本情報!$D$15,IF(E63&lt;MAX(収入計画!$C$11,収入計画!$C$14,収入計画!$C$17,収入計画!$C$20,収入計画!$C$23),MAX(0,収入計画!$D$6*0.5*(1+収入計画!$E$6)^(B63-1)),MAX(0,収入計画!$D$6*(1+収入計画!$E$6)^(B63-1))),IF(AND(E63&gt;=基本情報!$D$15,E63&lt;基本情報!$D$20),MAX(0,基本情報!$D$19*(収入計画!$D$6/収入計画!$C$6)),0)))</f>
        <v>0</v>
      </c>
      <c r="M63" s="170">
        <f>IF(OR(D63="",E63=""),"",IF(D63=基本情報!$C$15,基本情報!$C$16,0)+IF(E63=基本情報!$D$15,基本情報!$D$16,0))</f>
        <v>0</v>
      </c>
      <c r="N63" s="170">
        <f>IF(D63="","",IF(OR(D63&gt;=基本情報!$C$17,E63&gt;=基本情報!$D$17),MAX(0,IF(D63&gt;=基本情報!$C$17,基本情報!$C$18*12,0)+IF(AND(E63&lt;&gt;"",E63&gt;=基本情報!$D$17),基本情報!$D$18*12,0)),""))</f>
        <v>312</v>
      </c>
      <c r="O63" s="170">
        <f t="shared" si="4"/>
        <v>0</v>
      </c>
      <c r="P63" s="205">
        <f t="shared" si="5"/>
        <v>312</v>
      </c>
      <c r="Q63" s="171">
        <f>IF(D63&lt;基本情報!$C$17,支出計画!$C$5*(1+支出計画!$D$5)^(B63-1),支出計画!$C$6*(1+支出計画!$D$6)^(D63-基本情報!$C$17))-IF(AND(F63&gt;=22,F63&lt;&gt;""),支出計画!$C$45,0)</f>
        <v>193.42999082394874</v>
      </c>
      <c r="R63" s="170">
        <f>IF(C63&lt;住宅ローン償還表!$C$9,支出計画!$C$7,0)</f>
        <v>0</v>
      </c>
      <c r="S63" s="170">
        <f>IFERROR(VLOOKUP(C63,住宅ローン償還表!$C$17:$H$46,6,FALSE()),0)</f>
        <v>0</v>
      </c>
      <c r="T63" s="197">
        <f>(IF(ライフイベント表!F62="",0,IF(AND(ライフイベント表!F62&gt;=0,ライフイベント表!F62&lt;=5),支出計画!$D$24,IF(AND(ライフイベント表!F62&gt;=6,ライフイベント表!F62&lt;=11),支出計画!$D$25,IF(AND(ライフイベント表!F62&gt;=12,ライフイベント表!F62&lt;=14),支出計画!$D$26,IF(AND(ライフイベント表!F62&gt;=15,ライフイベント表!F62&lt;=17),支出計画!$D$27,IF(ライフイベント表!F62=18,支出計画!$D$28,IF(AND(ライフイベント表!F62&gt;=19,ライフイベント表!F62&lt;=21),支出計画!$D$29,0)))))))+IF(ライフイベント表!G62="",0,IF(AND(ライフイベント表!G62&gt;=0,ライフイベント表!G62&lt;=5),支出計画!$D$24,IF(AND(ライフイベント表!G62&gt;=6,ライフイベント表!G62&lt;=11),支出計画!$D$25,IF(AND(ライフイベント表!G62&gt;=12,ライフイベント表!G62&lt;=14),支出計画!$D$26,IF(AND(ライフイベント表!G62&gt;=15,ライフイベント表!G62&lt;=17),支出計画!$D$27,IF(ライフイベント表!G62=18,支出計画!$D$28,IF(AND(ライフイベント表!G62&gt;=19,ライフイベント表!G62&lt;=21),支出計画!$D$29,0)))))))+IF(ライフイベント表!H62="",0,IF(AND(ライフイベント表!H62&gt;=0,ライフイベント表!H62&lt;=5),支出計画!$D$24,IF(AND(ライフイベント表!H62&gt;=6,ライフイベント表!H62&lt;=11),支出計画!$D$25,IF(AND(ライフイベント表!H62&gt;=12,ライフイベント表!H62&lt;=14),支出計画!$D$26,IF(AND(ライフイベント表!H62&gt;=15,ライフイベント表!H62&lt;=17),支出計画!$D$27,IF(ライフイベント表!H62=18,支出計画!$D$28,IF(AND(ライフイベント表!H62&gt;=19,ライフイベント表!H62&lt;=21),支出計画!$D$29,0)))))))+IF(ライフイベント表!I62="",0,IF(AND(ライフイベント表!I62&gt;=0,ライフイベント表!I62&lt;=5),支出計画!$D$24,IF(AND(ライフイベント表!I62&gt;=6,ライフイベント表!I62&lt;=11),支出計画!$D$25,IF(AND(ライフイベント表!I62&gt;=12,ライフイベント表!I62&lt;=14),支出計画!$D$26,IF(AND(ライフイベント表!I62&gt;=15,ライフイベント表!I62&lt;=17),支出計画!$D$27,IF(ライフイベント表!I62=18,支出計画!$D$28,IF(AND(ライフイベント表!I62&gt;=19,ライフイベント表!I62&lt;=21),支出計画!$D$29,0)))))))+IF(ライフイベント表!J62="",0,IF(AND(ライフイベント表!J62&gt;=0,ライフイベント表!J62&lt;=5),支出計画!$D$24,IF(AND(ライフイベント表!J62&gt;=6,ライフイベント表!J62&lt;=11),支出計画!$D$25,IF(AND(ライフイベント表!J62&gt;=12,ライフイベント表!J62&lt;=14),支出計画!$D$26,IF(AND(ライフイベント表!J62&gt;=15,ライフイベント表!J62&lt;=17),支出計画!$D$27,IF(ライフイベント表!J62=18,支出計画!$D$28,IF(AND(ライフイベント表!J62&gt;=19,ライフイベント表!J62&lt;=21),支出計画!$D$29,0))))))))*POWER(1.02,B63-1)</f>
        <v>0</v>
      </c>
      <c r="U63" s="171">
        <f>SUMPRODUCT((保険!$G$5:$G$12&lt;=C63)*(保険!$H$5:$H$12&gt;=C63)*保険!$F$5:$F$12)</f>
        <v>7</v>
      </c>
      <c r="V63" s="171">
        <f>支出計画!$C$9</f>
        <v>36</v>
      </c>
      <c r="W63" s="170">
        <f>IF(AND(C63&gt;=支出計画!$D$35,C63&lt;=支出計画!$F$35,MOD(C63-支出計画!$D$35,支出計画!$E$35)=0),支出計画!$C$35,0)+IF(AND(C63&gt;=支出計画!$D$36,C63&lt;=支出計画!$F$36,MOD(C63-支出計画!$D$36,支出計画!$E$36)=0),支出計画!$C$36,0)+IF(C63=支出計画!$D$37,支出計画!$C$37,0)+IF(C63=支出計画!$D$38,支出計画!$C$38,0)</f>
        <v>200</v>
      </c>
      <c r="X63" s="172">
        <f t="shared" si="6"/>
        <v>436.42999082394874</v>
      </c>
      <c r="Y63" s="172">
        <f t="shared" si="7"/>
        <v>-124.42999082394874</v>
      </c>
      <c r="Z63" s="172">
        <f>Z62*(1+金融資産!$C$15)+Y63</f>
        <v>994.65768216098138</v>
      </c>
      <c r="AA63" s="1"/>
      <c r="AB63" s="1"/>
    </row>
    <row r="64" spans="1:28" ht="15" customHeight="1">
      <c r="A64" s="1"/>
      <c r="B64" s="167">
        <v>60</v>
      </c>
      <c r="C64" s="168">
        <f>基本情報!$C$3+B64-1</f>
        <v>2081</v>
      </c>
      <c r="D64" s="200">
        <f>IF(基本情報!$D$6="","",C64-YEAR(基本情報!$D$6)-IF(OR(MONTH(基本情報!$D$6)&gt;1,DAY(基本情報!$D$6)&gt;1),1,0))</f>
        <v>94</v>
      </c>
      <c r="E64" s="168">
        <f>IF(基本情報!$D$7="","",C64-YEAR(基本情報!$D$7)-IF(OR(MONTH(基本情報!$D$7)&gt;1,DAY(基本情報!$D$7)&gt;1),1,0))</f>
        <v>93</v>
      </c>
      <c r="F64" s="169">
        <f>IF(OR(基本情報!$D$8="",C64&lt;=YEAR(基本情報!$D$8)),"",MAX(0,C64-YEAR(基本情報!$D$8)-IF(OR(MONTH(基本情報!$D$8)&gt;1,DAY(基本情報!$D$8)&gt;1),1,0)))</f>
        <v>62</v>
      </c>
      <c r="G64" s="169">
        <f>IF(OR(基本情報!$D$9="",C64&lt;=YEAR(基本情報!$D$9)),"",MAX(0,C64-YEAR(基本情報!$D$9)-IF(OR(MONTH(基本情報!$D$9)&gt;1,DAY(基本情報!$D$9)&gt;1),1,0)))</f>
        <v>60</v>
      </c>
      <c r="H64" s="169">
        <f>IF(OR(基本情報!$D$10="",C64&lt;=YEAR(基本情報!$D$10)),"",MAX(0,C64-YEAR(基本情報!$D$10)-IF(OR(MONTH(基本情報!$D$10)&gt;1,DAY(基本情報!$D$10)&gt;1),1,0)))</f>
        <v>53</v>
      </c>
      <c r="I64" s="169">
        <f>IF(OR(基本情報!$D$11="",C64&lt;=YEAR(基本情報!$D$11)),"",MAX(0,C64-YEAR(基本情報!$D$11)-IF(OR(MONTH(基本情報!$D$11)&gt;1,DAY(基本情報!$D$11)&gt;1),1,0)))</f>
        <v>51</v>
      </c>
      <c r="J64" s="169">
        <f>IF(OR(基本情報!$D$12="",C64&lt;=YEAR(基本情報!$D$12)),"",MAX(0,C64-YEAR(基本情報!$D$12)-IF(OR(MONTH(基本情報!$D$12)&gt;1,DAY(基本情報!$D$12)&gt;1),1,0)))</f>
        <v>49</v>
      </c>
      <c r="K64" s="197">
        <f>IF(D64="","",IF(D64&lt;基本情報!$C$15,MAX(0,収入計画!$D$5*(1+収入計画!$E$5)^(B64-1)),IF(AND(D64&gt;=基本情報!$C$15,D64&lt;基本情報!$C$20),MAX(0,基本情報!$C$19*(収入計画!$D$5/収入計画!$C$5)),0)))</f>
        <v>0</v>
      </c>
      <c r="L64" s="170">
        <f>IF(E64="","",IF(E64&lt;基本情報!$D$15,IF(E64&lt;MAX(収入計画!$C$11,収入計画!$C$14,収入計画!$C$17,収入計画!$C$20,収入計画!$C$23),MAX(0,収入計画!$D$6*0.5*(1+収入計画!$E$6)^(B64-1)),MAX(0,収入計画!$D$6*(1+収入計画!$E$6)^(B64-1))),IF(AND(E64&gt;=基本情報!$D$15,E64&lt;基本情報!$D$20),MAX(0,基本情報!$D$19*(収入計画!$D$6/収入計画!$C$6)),0)))</f>
        <v>0</v>
      </c>
      <c r="M64" s="170">
        <f>IF(OR(D64="",E64=""),"",IF(D64=基本情報!$C$15,基本情報!$C$16,0)+IF(E64=基本情報!$D$15,基本情報!$D$16,0))</f>
        <v>0</v>
      </c>
      <c r="N64" s="170">
        <f>IF(D64="","",IF(OR(D64&gt;=基本情報!$C$17,E64&gt;=基本情報!$D$17),MAX(0,IF(D64&gt;=基本情報!$C$17,基本情報!$C$18*12,0)+IF(AND(E64&lt;&gt;"",E64&gt;=基本情報!$D$17),基本情報!$D$18*12,0)),""))</f>
        <v>312</v>
      </c>
      <c r="O64" s="170">
        <f t="shared" si="4"/>
        <v>0</v>
      </c>
      <c r="P64" s="205">
        <f t="shared" si="5"/>
        <v>312</v>
      </c>
      <c r="Q64" s="171">
        <f>IF(D64&lt;基本情報!$C$17,支出計画!$C$5*(1+支出計画!$D$5)^(B64-1),支出計画!$C$6*(1+支出計画!$D$6)^(D64-基本情報!$C$17))-IF(AND(F64&gt;=22,F64&lt;&gt;""),支出計画!$C$45,0)</f>
        <v>192.28284086982902</v>
      </c>
      <c r="R64" s="170">
        <f>IF(C64&lt;住宅ローン償還表!$C$9,支出計画!$C$7,0)</f>
        <v>0</v>
      </c>
      <c r="S64" s="170">
        <f>IFERROR(VLOOKUP(C64,住宅ローン償還表!$C$17:$H$46,6,FALSE()),0)</f>
        <v>0</v>
      </c>
      <c r="T64" s="197">
        <f>(IF(ライフイベント表!F63="",0,IF(AND(ライフイベント表!F63&gt;=0,ライフイベント表!F63&lt;=5),支出計画!$D$24,IF(AND(ライフイベント表!F63&gt;=6,ライフイベント表!F63&lt;=11),支出計画!$D$25,IF(AND(ライフイベント表!F63&gt;=12,ライフイベント表!F63&lt;=14),支出計画!$D$26,IF(AND(ライフイベント表!F63&gt;=15,ライフイベント表!F63&lt;=17),支出計画!$D$27,IF(ライフイベント表!F63=18,支出計画!$D$28,IF(AND(ライフイベント表!F63&gt;=19,ライフイベント表!F63&lt;=21),支出計画!$D$29,0)))))))+IF(ライフイベント表!G63="",0,IF(AND(ライフイベント表!G63&gt;=0,ライフイベント表!G63&lt;=5),支出計画!$D$24,IF(AND(ライフイベント表!G63&gt;=6,ライフイベント表!G63&lt;=11),支出計画!$D$25,IF(AND(ライフイベント表!G63&gt;=12,ライフイベント表!G63&lt;=14),支出計画!$D$26,IF(AND(ライフイベント表!G63&gt;=15,ライフイベント表!G63&lt;=17),支出計画!$D$27,IF(ライフイベント表!G63=18,支出計画!$D$28,IF(AND(ライフイベント表!G63&gt;=19,ライフイベント表!G63&lt;=21),支出計画!$D$29,0)))))))+IF(ライフイベント表!H63="",0,IF(AND(ライフイベント表!H63&gt;=0,ライフイベント表!H63&lt;=5),支出計画!$D$24,IF(AND(ライフイベント表!H63&gt;=6,ライフイベント表!H63&lt;=11),支出計画!$D$25,IF(AND(ライフイベント表!H63&gt;=12,ライフイベント表!H63&lt;=14),支出計画!$D$26,IF(AND(ライフイベント表!H63&gt;=15,ライフイベント表!H63&lt;=17),支出計画!$D$27,IF(ライフイベント表!H63=18,支出計画!$D$28,IF(AND(ライフイベント表!H63&gt;=19,ライフイベント表!H63&lt;=21),支出計画!$D$29,0)))))))+IF(ライフイベント表!I63="",0,IF(AND(ライフイベント表!I63&gt;=0,ライフイベント表!I63&lt;=5),支出計画!$D$24,IF(AND(ライフイベント表!I63&gt;=6,ライフイベント表!I63&lt;=11),支出計画!$D$25,IF(AND(ライフイベント表!I63&gt;=12,ライフイベント表!I63&lt;=14),支出計画!$D$26,IF(AND(ライフイベント表!I63&gt;=15,ライフイベント表!I63&lt;=17),支出計画!$D$27,IF(ライフイベント表!I63=18,支出計画!$D$28,IF(AND(ライフイベント表!I63&gt;=19,ライフイベント表!I63&lt;=21),支出計画!$D$29,0)))))))+IF(ライフイベント表!J63="",0,IF(AND(ライフイベント表!J63&gt;=0,ライフイベント表!J63&lt;=5),支出計画!$D$24,IF(AND(ライフイベント表!J63&gt;=6,ライフイベント表!J63&lt;=11),支出計画!$D$25,IF(AND(ライフイベント表!J63&gt;=12,ライフイベント表!J63&lt;=14),支出計画!$D$26,IF(AND(ライフイベント表!J63&gt;=15,ライフイベント表!J63&lt;=17),支出計画!$D$27,IF(ライフイベント表!J63=18,支出計画!$D$28,IF(AND(ライフイベント表!J63&gt;=19,ライフイベント表!J63&lt;=21),支出計画!$D$29,0))))))))*POWER(1.02,B64-1)</f>
        <v>0</v>
      </c>
      <c r="U64" s="171">
        <f>SUMPRODUCT((保険!$G$5:$G$12&lt;=C64)*(保険!$H$5:$H$12&gt;=C64)*保険!$F$5:$F$12)</f>
        <v>0</v>
      </c>
      <c r="V64" s="171">
        <f>支出計画!$C$9</f>
        <v>36</v>
      </c>
      <c r="W64" s="170">
        <f>IF(AND(C64&gt;=支出計画!$D$35,C64&lt;=支出計画!$F$35,MOD(C64-支出計画!$D$35,支出計画!$E$35)=0),支出計画!$C$35,0)+IF(AND(C64&gt;=支出計画!$D$36,C64&lt;=支出計画!$F$36,MOD(C64-支出計画!$D$36,支出計画!$E$36)=0),支出計画!$C$36,0)+IF(C64=支出計画!$D$37,支出計画!$C$37,0)+IF(C64=支出計画!$D$38,支出計画!$C$38,0)</f>
        <v>0</v>
      </c>
      <c r="X64" s="172">
        <f t="shared" si="6"/>
        <v>228.28284086982902</v>
      </c>
      <c r="Y64" s="172">
        <f t="shared" si="7"/>
        <v>83.717159130170984</v>
      </c>
      <c r="Z64" s="172">
        <f>Z63*(1+金融資産!$C$15)+Y64</f>
        <v>1083.3481297019571</v>
      </c>
      <c r="AA64" s="1"/>
      <c r="AB64" s="1"/>
    </row>
    <row r="65" spans="1:28" ht="15" customHeight="1">
      <c r="A65" s="1"/>
      <c r="B65" s="167">
        <v>61</v>
      </c>
      <c r="C65" s="168">
        <f>基本情報!$C$3+B65-1</f>
        <v>2082</v>
      </c>
      <c r="D65" s="200">
        <f>IF(基本情報!$D$6="","",C65-YEAR(基本情報!$D$6)-IF(OR(MONTH(基本情報!$D$6)&gt;1,DAY(基本情報!$D$6)&gt;1),1,0))</f>
        <v>95</v>
      </c>
      <c r="E65" s="168">
        <f>IF(基本情報!$D$7="","",C65-YEAR(基本情報!$D$7)-IF(OR(MONTH(基本情報!$D$7)&gt;1,DAY(基本情報!$D$7)&gt;1),1,0))</f>
        <v>94</v>
      </c>
      <c r="F65" s="169">
        <f>IF(OR(基本情報!$D$8="",C65&lt;=YEAR(基本情報!$D$8)),"",MAX(0,C65-YEAR(基本情報!$D$8)-IF(OR(MONTH(基本情報!$D$8)&gt;1,DAY(基本情報!$D$8)&gt;1),1,0)))</f>
        <v>63</v>
      </c>
      <c r="G65" s="169">
        <f>IF(OR(基本情報!$D$9="",C65&lt;=YEAR(基本情報!$D$9)),"",MAX(0,C65-YEAR(基本情報!$D$9)-IF(OR(MONTH(基本情報!$D$9)&gt;1,DAY(基本情報!$D$9)&gt;1),1,0)))</f>
        <v>61</v>
      </c>
      <c r="H65" s="169">
        <f>IF(OR(基本情報!$D$10="",C65&lt;=YEAR(基本情報!$D$10)),"",MAX(0,C65-YEAR(基本情報!$D$10)-IF(OR(MONTH(基本情報!$D$10)&gt;1,DAY(基本情報!$D$10)&gt;1),1,0)))</f>
        <v>54</v>
      </c>
      <c r="I65" s="169">
        <f>IF(OR(基本情報!$D$11="",C65&lt;=YEAR(基本情報!$D$11)),"",MAX(0,C65-YEAR(基本情報!$D$11)-IF(OR(MONTH(基本情報!$D$11)&gt;1,DAY(基本情報!$D$11)&gt;1),1,0)))</f>
        <v>52</v>
      </c>
      <c r="J65" s="169">
        <f>IF(OR(基本情報!$D$12="",C65&lt;=YEAR(基本情報!$D$12)),"",MAX(0,C65-YEAR(基本情報!$D$12)-IF(OR(MONTH(基本情報!$D$12)&gt;1,DAY(基本情報!$D$12)&gt;1),1,0)))</f>
        <v>50</v>
      </c>
      <c r="K65" s="197">
        <f>IF(D65="","",IF(D65&lt;基本情報!$C$15,MAX(0,収入計画!$D$5*(1+収入計画!$E$5)^(B65-1)),IF(AND(D65&gt;=基本情報!$C$15,D65&lt;基本情報!$C$20),MAX(0,基本情報!$C$19*(収入計画!$D$5/収入計画!$C$5)),0)))</f>
        <v>0</v>
      </c>
      <c r="L65" s="170">
        <f>IF(E65="","",IF(E65&lt;基本情報!$D$15,IF(E65&lt;MAX(収入計画!$C$11,収入計画!$C$14,収入計画!$C$17,収入計画!$C$20,収入計画!$C$23),MAX(0,収入計画!$D$6*0.5*(1+収入計画!$E$6)^(B65-1)),MAX(0,収入計画!$D$6*(1+収入計画!$E$6)^(B65-1))),IF(AND(E65&gt;=基本情報!$D$15,E65&lt;基本情報!$D$20),MAX(0,基本情報!$D$19*(収入計画!$D$6/収入計画!$C$6)),0)))</f>
        <v>0</v>
      </c>
      <c r="M65" s="170">
        <f>IF(OR(D65="",E65=""),"",IF(D65=基本情報!$C$15,基本情報!$C$16,0)+IF(E65=基本情報!$D$15,基本情報!$D$16,0))</f>
        <v>0</v>
      </c>
      <c r="N65" s="170">
        <f>IF(D65="","",IF(OR(D65&gt;=基本情報!$C$17,E65&gt;=基本情報!$D$17),MAX(0,IF(D65&gt;=基本情報!$C$17,基本情報!$C$18*12,0)+IF(AND(E65&lt;&gt;"",E65&gt;=基本情報!$D$17),基本情報!$D$18*12,0)),""))</f>
        <v>312</v>
      </c>
      <c r="O65" s="170">
        <f t="shared" si="4"/>
        <v>0</v>
      </c>
      <c r="P65" s="205">
        <f t="shared" si="5"/>
        <v>312</v>
      </c>
      <c r="Q65" s="171">
        <f>IF(D65&lt;基本情報!$C$17,支出計画!$C$5*(1+支出計画!$D$5)^(B65-1),支出計画!$C$6*(1+支出計画!$D$6)^(D65-基本情報!$C$17))-IF(AND(F65&gt;=22,F65&lt;&gt;""),支出計画!$C$45,0)</f>
        <v>191.14142666547986</v>
      </c>
      <c r="R65" s="170">
        <f>IF(C65&lt;住宅ローン償還表!$C$9,支出計画!$C$7,0)</f>
        <v>0</v>
      </c>
      <c r="S65" s="170">
        <f>IFERROR(VLOOKUP(C65,住宅ローン償還表!$C$17:$H$46,6,FALSE()),0)</f>
        <v>0</v>
      </c>
      <c r="T65" s="197">
        <f>(IF(ライフイベント表!F64="",0,IF(AND(ライフイベント表!F64&gt;=0,ライフイベント表!F64&lt;=5),支出計画!$D$24,IF(AND(ライフイベント表!F64&gt;=6,ライフイベント表!F64&lt;=11),支出計画!$D$25,IF(AND(ライフイベント表!F64&gt;=12,ライフイベント表!F64&lt;=14),支出計画!$D$26,IF(AND(ライフイベント表!F64&gt;=15,ライフイベント表!F64&lt;=17),支出計画!$D$27,IF(ライフイベント表!F64=18,支出計画!$D$28,IF(AND(ライフイベント表!F64&gt;=19,ライフイベント表!F64&lt;=21),支出計画!$D$29,0)))))))+IF(ライフイベント表!G64="",0,IF(AND(ライフイベント表!G64&gt;=0,ライフイベント表!G64&lt;=5),支出計画!$D$24,IF(AND(ライフイベント表!G64&gt;=6,ライフイベント表!G64&lt;=11),支出計画!$D$25,IF(AND(ライフイベント表!G64&gt;=12,ライフイベント表!G64&lt;=14),支出計画!$D$26,IF(AND(ライフイベント表!G64&gt;=15,ライフイベント表!G64&lt;=17),支出計画!$D$27,IF(ライフイベント表!G64=18,支出計画!$D$28,IF(AND(ライフイベント表!G64&gt;=19,ライフイベント表!G64&lt;=21),支出計画!$D$29,0)))))))+IF(ライフイベント表!H64="",0,IF(AND(ライフイベント表!H64&gt;=0,ライフイベント表!H64&lt;=5),支出計画!$D$24,IF(AND(ライフイベント表!H64&gt;=6,ライフイベント表!H64&lt;=11),支出計画!$D$25,IF(AND(ライフイベント表!H64&gt;=12,ライフイベント表!H64&lt;=14),支出計画!$D$26,IF(AND(ライフイベント表!H64&gt;=15,ライフイベント表!H64&lt;=17),支出計画!$D$27,IF(ライフイベント表!H64=18,支出計画!$D$28,IF(AND(ライフイベント表!H64&gt;=19,ライフイベント表!H64&lt;=21),支出計画!$D$29,0)))))))+IF(ライフイベント表!I64="",0,IF(AND(ライフイベント表!I64&gt;=0,ライフイベント表!I64&lt;=5),支出計画!$D$24,IF(AND(ライフイベント表!I64&gt;=6,ライフイベント表!I64&lt;=11),支出計画!$D$25,IF(AND(ライフイベント表!I64&gt;=12,ライフイベント表!I64&lt;=14),支出計画!$D$26,IF(AND(ライフイベント表!I64&gt;=15,ライフイベント表!I64&lt;=17),支出計画!$D$27,IF(ライフイベント表!I64=18,支出計画!$D$28,IF(AND(ライフイベント表!I64&gt;=19,ライフイベント表!I64&lt;=21),支出計画!$D$29,0)))))))+IF(ライフイベント表!J64="",0,IF(AND(ライフイベント表!J64&gt;=0,ライフイベント表!J64&lt;=5),支出計画!$D$24,IF(AND(ライフイベント表!J64&gt;=6,ライフイベント表!J64&lt;=11),支出計画!$D$25,IF(AND(ライフイベント表!J64&gt;=12,ライフイベント表!J64&lt;=14),支出計画!$D$26,IF(AND(ライフイベント表!J64&gt;=15,ライフイベント表!J64&lt;=17),支出計画!$D$27,IF(ライフイベント表!J64=18,支出計画!$D$28,IF(AND(ライフイベント表!J64&gt;=19,ライフイベント表!J64&lt;=21),支出計画!$D$29,0))))))))*POWER(1.02,B65-1)</f>
        <v>0</v>
      </c>
      <c r="U65" s="171">
        <f>SUMPRODUCT((保険!$G$5:$G$12&lt;=C65)*(保険!$H$5:$H$12&gt;=C65)*保険!$F$5:$F$12)</f>
        <v>0</v>
      </c>
      <c r="V65" s="171">
        <f>支出計画!$C$9</f>
        <v>36</v>
      </c>
      <c r="W65" s="170">
        <f>IF(AND(C65&gt;=支出計画!$D$35,C65&lt;=支出計画!$F$35,MOD(C65-支出計画!$D$35,支出計画!$E$35)=0),支出計画!$C$35,0)+IF(AND(C65&gt;=支出計画!$D$36,C65&lt;=支出計画!$F$36,MOD(C65-支出計画!$D$36,支出計画!$E$36)=0),支出計画!$C$36,0)+IF(C65=支出計画!$D$37,支出計画!$C$37,0)+IF(C65=支出計画!$D$38,支出計画!$C$38,0)</f>
        <v>0</v>
      </c>
      <c r="X65" s="172">
        <f t="shared" si="6"/>
        <v>227.14142666547986</v>
      </c>
      <c r="Y65" s="172">
        <f t="shared" si="7"/>
        <v>84.858573334520145</v>
      </c>
      <c r="Z65" s="172">
        <f>Z64*(1+金融資産!$C$15)+Y65</f>
        <v>1173.6234436849868</v>
      </c>
      <c r="AA65" s="1"/>
      <c r="AB65" s="1"/>
    </row>
    <row r="66" spans="1:28" ht="15" customHeight="1">
      <c r="A66" s="1"/>
      <c r="B66" s="167">
        <v>62</v>
      </c>
      <c r="C66" s="168">
        <f>基本情報!$C$3+B66-1</f>
        <v>2083</v>
      </c>
      <c r="D66" s="200">
        <f>IF(基本情報!$D$6="","",C66-YEAR(基本情報!$D$6)-IF(OR(MONTH(基本情報!$D$6)&gt;1,DAY(基本情報!$D$6)&gt;1),1,0))</f>
        <v>96</v>
      </c>
      <c r="E66" s="168">
        <f>IF(基本情報!$D$7="","",C66-YEAR(基本情報!$D$7)-IF(OR(MONTH(基本情報!$D$7)&gt;1,DAY(基本情報!$D$7)&gt;1),1,0))</f>
        <v>95</v>
      </c>
      <c r="F66" s="169">
        <f>IF(OR(基本情報!$D$8="",C66&lt;=YEAR(基本情報!$D$8)),"",MAX(0,C66-YEAR(基本情報!$D$8)-IF(OR(MONTH(基本情報!$D$8)&gt;1,DAY(基本情報!$D$8)&gt;1),1,0)))</f>
        <v>64</v>
      </c>
      <c r="G66" s="169">
        <f>IF(OR(基本情報!$D$9="",C66&lt;=YEAR(基本情報!$D$9)),"",MAX(0,C66-YEAR(基本情報!$D$9)-IF(OR(MONTH(基本情報!$D$9)&gt;1,DAY(基本情報!$D$9)&gt;1),1,0)))</f>
        <v>62</v>
      </c>
      <c r="H66" s="169">
        <f>IF(OR(基本情報!$D$10="",C66&lt;=YEAR(基本情報!$D$10)),"",MAX(0,C66-YEAR(基本情報!$D$10)-IF(OR(MONTH(基本情報!$D$10)&gt;1,DAY(基本情報!$D$10)&gt;1),1,0)))</f>
        <v>55</v>
      </c>
      <c r="I66" s="169">
        <f>IF(OR(基本情報!$D$11="",C66&lt;=YEAR(基本情報!$D$11)),"",MAX(0,C66-YEAR(基本情報!$D$11)-IF(OR(MONTH(基本情報!$D$11)&gt;1,DAY(基本情報!$D$11)&gt;1),1,0)))</f>
        <v>53</v>
      </c>
      <c r="J66" s="169">
        <f>IF(OR(基本情報!$D$12="",C66&lt;=YEAR(基本情報!$D$12)),"",MAX(0,C66-YEAR(基本情報!$D$12)-IF(OR(MONTH(基本情報!$D$12)&gt;1,DAY(基本情報!$D$12)&gt;1),1,0)))</f>
        <v>51</v>
      </c>
      <c r="K66" s="197">
        <f>IF(D66="","",IF(D66&lt;基本情報!$C$15,MAX(0,収入計画!$D$5*(1+収入計画!$E$5)^(B66-1)),IF(AND(D66&gt;=基本情報!$C$15,D66&lt;基本情報!$C$20),MAX(0,基本情報!$C$19*(収入計画!$D$5/収入計画!$C$5)),0)))</f>
        <v>0</v>
      </c>
      <c r="L66" s="170">
        <f>IF(E66="","",IF(E66&lt;基本情報!$D$15,IF(E66&lt;MAX(収入計画!$C$11,収入計画!$C$14,収入計画!$C$17,収入計画!$C$20,収入計画!$C$23),MAX(0,収入計画!$D$6*0.5*(1+収入計画!$E$6)^(B66-1)),MAX(0,収入計画!$D$6*(1+収入計画!$E$6)^(B66-1))),IF(AND(E66&gt;=基本情報!$D$15,E66&lt;基本情報!$D$20),MAX(0,基本情報!$D$19*(収入計画!$D$6/収入計画!$C$6)),0)))</f>
        <v>0</v>
      </c>
      <c r="M66" s="170">
        <f>IF(OR(D66="",E66=""),"",IF(D66=基本情報!$C$15,基本情報!$C$16,0)+IF(E66=基本情報!$D$15,基本情報!$D$16,0))</f>
        <v>0</v>
      </c>
      <c r="N66" s="170">
        <f>IF(D66="","",IF(OR(D66&gt;=基本情報!$C$17,E66&gt;=基本情報!$D$17),MAX(0,IF(D66&gt;=基本情報!$C$17,基本情報!$C$18*12,0)+IF(AND(E66&lt;&gt;"",E66&gt;=基本情報!$D$17),基本情報!$D$18*12,0)),""))</f>
        <v>312</v>
      </c>
      <c r="O66" s="170">
        <f t="shared" si="4"/>
        <v>0</v>
      </c>
      <c r="P66" s="205">
        <f t="shared" si="5"/>
        <v>312</v>
      </c>
      <c r="Q66" s="171">
        <f>IF(D66&lt;基本情報!$C$17,支出計画!$C$5*(1+支出計画!$D$5)^(B66-1),支出計画!$C$6*(1+支出計画!$D$6)^(D66-基本情報!$C$17))-IF(AND(F66&gt;=22,F66&lt;&gt;""),支出計画!$C$45,0)</f>
        <v>190.00571953215245</v>
      </c>
      <c r="R66" s="170">
        <f>IF(C66&lt;住宅ローン償還表!$C$9,支出計画!$C$7,0)</f>
        <v>0</v>
      </c>
      <c r="S66" s="170">
        <f>IFERROR(VLOOKUP(C66,住宅ローン償還表!$C$17:$H$46,6,FALSE()),0)</f>
        <v>0</v>
      </c>
      <c r="T66" s="197">
        <f>(IF(ライフイベント表!F65="",0,IF(AND(ライフイベント表!F65&gt;=0,ライフイベント表!F65&lt;=5),支出計画!$D$24,IF(AND(ライフイベント表!F65&gt;=6,ライフイベント表!F65&lt;=11),支出計画!$D$25,IF(AND(ライフイベント表!F65&gt;=12,ライフイベント表!F65&lt;=14),支出計画!$D$26,IF(AND(ライフイベント表!F65&gt;=15,ライフイベント表!F65&lt;=17),支出計画!$D$27,IF(ライフイベント表!F65=18,支出計画!$D$28,IF(AND(ライフイベント表!F65&gt;=19,ライフイベント表!F65&lt;=21),支出計画!$D$29,0)))))))+IF(ライフイベント表!G65="",0,IF(AND(ライフイベント表!G65&gt;=0,ライフイベント表!G65&lt;=5),支出計画!$D$24,IF(AND(ライフイベント表!G65&gt;=6,ライフイベント表!G65&lt;=11),支出計画!$D$25,IF(AND(ライフイベント表!G65&gt;=12,ライフイベント表!G65&lt;=14),支出計画!$D$26,IF(AND(ライフイベント表!G65&gt;=15,ライフイベント表!G65&lt;=17),支出計画!$D$27,IF(ライフイベント表!G65=18,支出計画!$D$28,IF(AND(ライフイベント表!G65&gt;=19,ライフイベント表!G65&lt;=21),支出計画!$D$29,0)))))))+IF(ライフイベント表!H65="",0,IF(AND(ライフイベント表!H65&gt;=0,ライフイベント表!H65&lt;=5),支出計画!$D$24,IF(AND(ライフイベント表!H65&gt;=6,ライフイベント表!H65&lt;=11),支出計画!$D$25,IF(AND(ライフイベント表!H65&gt;=12,ライフイベント表!H65&lt;=14),支出計画!$D$26,IF(AND(ライフイベント表!H65&gt;=15,ライフイベント表!H65&lt;=17),支出計画!$D$27,IF(ライフイベント表!H65=18,支出計画!$D$28,IF(AND(ライフイベント表!H65&gt;=19,ライフイベント表!H65&lt;=21),支出計画!$D$29,0)))))))+IF(ライフイベント表!I65="",0,IF(AND(ライフイベント表!I65&gt;=0,ライフイベント表!I65&lt;=5),支出計画!$D$24,IF(AND(ライフイベント表!I65&gt;=6,ライフイベント表!I65&lt;=11),支出計画!$D$25,IF(AND(ライフイベント表!I65&gt;=12,ライフイベント表!I65&lt;=14),支出計画!$D$26,IF(AND(ライフイベント表!I65&gt;=15,ライフイベント表!I65&lt;=17),支出計画!$D$27,IF(ライフイベント表!I65=18,支出計画!$D$28,IF(AND(ライフイベント表!I65&gt;=19,ライフイベント表!I65&lt;=21),支出計画!$D$29,0)))))))+IF(ライフイベント表!J65="",0,IF(AND(ライフイベント表!J65&gt;=0,ライフイベント表!J65&lt;=5),支出計画!$D$24,IF(AND(ライフイベント表!J65&gt;=6,ライフイベント表!J65&lt;=11),支出計画!$D$25,IF(AND(ライフイベント表!J65&gt;=12,ライフイベント表!J65&lt;=14),支出計画!$D$26,IF(AND(ライフイベント表!J65&gt;=15,ライフイベント表!J65&lt;=17),支出計画!$D$27,IF(ライフイベント表!J65=18,支出計画!$D$28,IF(AND(ライフイベント表!J65&gt;=19,ライフイベント表!J65&lt;=21),支出計画!$D$29,0))))))))*POWER(1.02,B66-1)</f>
        <v>0</v>
      </c>
      <c r="U66" s="171">
        <f>SUMPRODUCT((保険!$G$5:$G$12&lt;=C66)*(保険!$H$5:$H$12&gt;=C66)*保険!$F$5:$F$12)</f>
        <v>0</v>
      </c>
      <c r="V66" s="171">
        <f>支出計画!$C$9</f>
        <v>36</v>
      </c>
      <c r="W66" s="170">
        <f>IF(AND(C66&gt;=支出計画!$D$35,C66&lt;=支出計画!$F$35,MOD(C66-支出計画!$D$35,支出計画!$E$35)=0),支出計画!$C$35,0)+IF(AND(C66&gt;=支出計画!$D$36,C66&lt;=支出計画!$F$36,MOD(C66-支出計画!$D$36,支出計画!$E$36)=0),支出計画!$C$36,0)+IF(C66=支出計画!$D$37,支出計画!$C$37,0)+IF(C66=支出計画!$D$38,支出計画!$C$38,0)</f>
        <v>0</v>
      </c>
      <c r="X66" s="172">
        <f t="shared" si="6"/>
        <v>226.00571953215245</v>
      </c>
      <c r="Y66" s="172">
        <f t="shared" si="7"/>
        <v>85.994280467847545</v>
      </c>
      <c r="Z66" s="172">
        <f>Z65*(1+金融資産!$C$15)+Y66</f>
        <v>1265.4858413712593</v>
      </c>
      <c r="AA66" s="1"/>
      <c r="AB66" s="1"/>
    </row>
    <row r="67" spans="1:28" ht="15" customHeight="1">
      <c r="A67" s="1"/>
      <c r="B67" s="167">
        <v>63</v>
      </c>
      <c r="C67" s="168">
        <f>基本情報!$C$3+B67-1</f>
        <v>2084</v>
      </c>
      <c r="D67" s="200">
        <f>IF(基本情報!$D$6="","",C67-YEAR(基本情報!$D$6)-IF(OR(MONTH(基本情報!$D$6)&gt;1,DAY(基本情報!$D$6)&gt;1),1,0))</f>
        <v>97</v>
      </c>
      <c r="E67" s="168">
        <f>IF(基本情報!$D$7="","",C67-YEAR(基本情報!$D$7)-IF(OR(MONTH(基本情報!$D$7)&gt;1,DAY(基本情報!$D$7)&gt;1),1,0))</f>
        <v>96</v>
      </c>
      <c r="F67" s="169">
        <f>IF(OR(基本情報!$D$8="",C67&lt;=YEAR(基本情報!$D$8)),"",MAX(0,C67-YEAR(基本情報!$D$8)-IF(OR(MONTH(基本情報!$D$8)&gt;1,DAY(基本情報!$D$8)&gt;1),1,0)))</f>
        <v>65</v>
      </c>
      <c r="G67" s="169">
        <f>IF(OR(基本情報!$D$9="",C67&lt;=YEAR(基本情報!$D$9)),"",MAX(0,C67-YEAR(基本情報!$D$9)-IF(OR(MONTH(基本情報!$D$9)&gt;1,DAY(基本情報!$D$9)&gt;1),1,0)))</f>
        <v>63</v>
      </c>
      <c r="H67" s="169">
        <f>IF(OR(基本情報!$D$10="",C67&lt;=YEAR(基本情報!$D$10)),"",MAX(0,C67-YEAR(基本情報!$D$10)-IF(OR(MONTH(基本情報!$D$10)&gt;1,DAY(基本情報!$D$10)&gt;1),1,0)))</f>
        <v>56</v>
      </c>
      <c r="I67" s="169">
        <f>IF(OR(基本情報!$D$11="",C67&lt;=YEAR(基本情報!$D$11)),"",MAX(0,C67-YEAR(基本情報!$D$11)-IF(OR(MONTH(基本情報!$D$11)&gt;1,DAY(基本情報!$D$11)&gt;1),1,0)))</f>
        <v>54</v>
      </c>
      <c r="J67" s="169">
        <f>IF(OR(基本情報!$D$12="",C67&lt;=YEAR(基本情報!$D$12)),"",MAX(0,C67-YEAR(基本情報!$D$12)-IF(OR(MONTH(基本情報!$D$12)&gt;1,DAY(基本情報!$D$12)&gt;1),1,0)))</f>
        <v>52</v>
      </c>
      <c r="K67" s="197">
        <f>IF(D67="","",IF(D67&lt;基本情報!$C$15,MAX(0,収入計画!$D$5*(1+収入計画!$E$5)^(B67-1)),IF(AND(D67&gt;=基本情報!$C$15,D67&lt;基本情報!$C$20),MAX(0,基本情報!$C$19*(収入計画!$D$5/収入計画!$C$5)),0)))</f>
        <v>0</v>
      </c>
      <c r="L67" s="170">
        <f>IF(E67="","",IF(E67&lt;基本情報!$D$15,IF(E67&lt;MAX(収入計画!$C$11,収入計画!$C$14,収入計画!$C$17,収入計画!$C$20,収入計画!$C$23),MAX(0,収入計画!$D$6*0.5*(1+収入計画!$E$6)^(B67-1)),MAX(0,収入計画!$D$6*(1+収入計画!$E$6)^(B67-1))),IF(AND(E67&gt;=基本情報!$D$15,E67&lt;基本情報!$D$20),MAX(0,基本情報!$D$19*(収入計画!$D$6/収入計画!$C$6)),0)))</f>
        <v>0</v>
      </c>
      <c r="M67" s="170">
        <f>IF(OR(D67="",E67=""),"",IF(D67=基本情報!$C$15,基本情報!$C$16,0)+IF(E67=基本情報!$D$15,基本情報!$D$16,0))</f>
        <v>0</v>
      </c>
      <c r="N67" s="170">
        <f>IF(D67="","",IF(OR(D67&gt;=基本情報!$C$17,E67&gt;=基本情報!$D$17),MAX(0,IF(D67&gt;=基本情報!$C$17,基本情報!$C$18*12,0)+IF(AND(E67&lt;&gt;"",E67&gt;=基本情報!$D$17),基本情報!$D$18*12,0)),""))</f>
        <v>312</v>
      </c>
      <c r="O67" s="170">
        <f t="shared" si="4"/>
        <v>0</v>
      </c>
      <c r="P67" s="205">
        <f t="shared" si="5"/>
        <v>312</v>
      </c>
      <c r="Q67" s="171">
        <f>IF(D67&lt;基本情報!$C$17,支出計画!$C$5*(1+支出計画!$D$5)^(B67-1),支出計画!$C$6*(1+支出計画!$D$6)^(D67-基本情報!$C$17))-IF(AND(F67&gt;=22,F67&lt;&gt;""),支出計画!$C$45,0)</f>
        <v>188.87569093449167</v>
      </c>
      <c r="R67" s="170">
        <f>IF(C67&lt;住宅ローン償還表!$C$9,支出計画!$C$7,0)</f>
        <v>0</v>
      </c>
      <c r="S67" s="170">
        <f>IFERROR(VLOOKUP(C67,住宅ローン償還表!$C$17:$H$46,6,FALSE()),0)</f>
        <v>0</v>
      </c>
      <c r="T67" s="197">
        <f>(IF(ライフイベント表!F66="",0,IF(AND(ライフイベント表!F66&gt;=0,ライフイベント表!F66&lt;=5),支出計画!$D$24,IF(AND(ライフイベント表!F66&gt;=6,ライフイベント表!F66&lt;=11),支出計画!$D$25,IF(AND(ライフイベント表!F66&gt;=12,ライフイベント表!F66&lt;=14),支出計画!$D$26,IF(AND(ライフイベント表!F66&gt;=15,ライフイベント表!F66&lt;=17),支出計画!$D$27,IF(ライフイベント表!F66=18,支出計画!$D$28,IF(AND(ライフイベント表!F66&gt;=19,ライフイベント表!F66&lt;=21),支出計画!$D$29,0)))))))+IF(ライフイベント表!G66="",0,IF(AND(ライフイベント表!G66&gt;=0,ライフイベント表!G66&lt;=5),支出計画!$D$24,IF(AND(ライフイベント表!G66&gt;=6,ライフイベント表!G66&lt;=11),支出計画!$D$25,IF(AND(ライフイベント表!G66&gt;=12,ライフイベント表!G66&lt;=14),支出計画!$D$26,IF(AND(ライフイベント表!G66&gt;=15,ライフイベント表!G66&lt;=17),支出計画!$D$27,IF(ライフイベント表!G66=18,支出計画!$D$28,IF(AND(ライフイベント表!G66&gt;=19,ライフイベント表!G66&lt;=21),支出計画!$D$29,0)))))))+IF(ライフイベント表!H66="",0,IF(AND(ライフイベント表!H66&gt;=0,ライフイベント表!H66&lt;=5),支出計画!$D$24,IF(AND(ライフイベント表!H66&gt;=6,ライフイベント表!H66&lt;=11),支出計画!$D$25,IF(AND(ライフイベント表!H66&gt;=12,ライフイベント表!H66&lt;=14),支出計画!$D$26,IF(AND(ライフイベント表!H66&gt;=15,ライフイベント表!H66&lt;=17),支出計画!$D$27,IF(ライフイベント表!H66=18,支出計画!$D$28,IF(AND(ライフイベント表!H66&gt;=19,ライフイベント表!H66&lt;=21),支出計画!$D$29,0)))))))+IF(ライフイベント表!I66="",0,IF(AND(ライフイベント表!I66&gt;=0,ライフイベント表!I66&lt;=5),支出計画!$D$24,IF(AND(ライフイベント表!I66&gt;=6,ライフイベント表!I66&lt;=11),支出計画!$D$25,IF(AND(ライフイベント表!I66&gt;=12,ライフイベント表!I66&lt;=14),支出計画!$D$26,IF(AND(ライフイベント表!I66&gt;=15,ライフイベント表!I66&lt;=17),支出計画!$D$27,IF(ライフイベント表!I66=18,支出計画!$D$28,IF(AND(ライフイベント表!I66&gt;=19,ライフイベント表!I66&lt;=21),支出計画!$D$29,0)))))))+IF(ライフイベント表!J66="",0,IF(AND(ライフイベント表!J66&gt;=0,ライフイベント表!J66&lt;=5),支出計画!$D$24,IF(AND(ライフイベント表!J66&gt;=6,ライフイベント表!J66&lt;=11),支出計画!$D$25,IF(AND(ライフイベント表!J66&gt;=12,ライフイベント表!J66&lt;=14),支出計画!$D$26,IF(AND(ライフイベント表!J66&gt;=15,ライフイベント表!J66&lt;=17),支出計画!$D$27,IF(ライフイベント表!J66=18,支出計画!$D$28,IF(AND(ライフイベント表!J66&gt;=19,ライフイベント表!J66&lt;=21),支出計画!$D$29,0))))))))*POWER(1.02,B67-1)</f>
        <v>0</v>
      </c>
      <c r="U67" s="171">
        <f>SUMPRODUCT((保険!$G$5:$G$12&lt;=C67)*(保険!$H$5:$H$12&gt;=C67)*保険!$F$5:$F$12)</f>
        <v>0</v>
      </c>
      <c r="V67" s="171">
        <f>支出計画!$C$9</f>
        <v>36</v>
      </c>
      <c r="W67" s="170">
        <f>IF(AND(C67&gt;=支出計画!$D$35,C67&lt;=支出計画!$F$35,MOD(C67-支出計画!$D$35,支出計画!$E$35)=0),支出計画!$C$35,0)+IF(AND(C67&gt;=支出計画!$D$36,C67&lt;=支出計画!$F$36,MOD(C67-支出計画!$D$36,支出計画!$E$36)=0),支出計画!$C$36,0)+IF(C67=支出計画!$D$37,支出計画!$C$37,0)+IF(C67=支出計画!$D$38,支出計画!$C$38,0)</f>
        <v>0</v>
      </c>
      <c r="X67" s="172">
        <f t="shared" si="6"/>
        <v>224.87569093449167</v>
      </c>
      <c r="Y67" s="172">
        <f t="shared" si="7"/>
        <v>87.124309065508328</v>
      </c>
      <c r="Z67" s="172">
        <f>Z66*(1+金融資産!$C$15)+Y67</f>
        <v>1358.9375796436238</v>
      </c>
      <c r="AA67" s="1"/>
      <c r="AB67" s="1"/>
    </row>
    <row r="68" spans="1:28" ht="15" customHeight="1">
      <c r="A68" s="1"/>
      <c r="B68" s="167">
        <v>64</v>
      </c>
      <c r="C68" s="168">
        <f>基本情報!$C$3+B68-1</f>
        <v>2085</v>
      </c>
      <c r="D68" s="200">
        <f>IF(基本情報!$D$6="","",C68-YEAR(基本情報!$D$6)-IF(OR(MONTH(基本情報!$D$6)&gt;1,DAY(基本情報!$D$6)&gt;1),1,0))</f>
        <v>98</v>
      </c>
      <c r="E68" s="168">
        <f>IF(基本情報!$D$7="","",C68-YEAR(基本情報!$D$7)-IF(OR(MONTH(基本情報!$D$7)&gt;1,DAY(基本情報!$D$7)&gt;1),1,0))</f>
        <v>97</v>
      </c>
      <c r="F68" s="169">
        <v>66</v>
      </c>
      <c r="G68" s="169">
        <v>64</v>
      </c>
      <c r="H68" s="169">
        <v>57</v>
      </c>
      <c r="I68" s="169">
        <f>IF(OR(基本情報!$D$11="",C68&lt;=YEAR(基本情報!$D$11)),"",MAX(0,C68-YEAR(基本情報!$D$11)-IF(OR(MONTH(基本情報!$D$11)&gt;1,DAY(基本情報!$D$11)&gt;1),1,0)))</f>
        <v>55</v>
      </c>
      <c r="J68" s="169">
        <f>IF(OR(基本情報!$D$12="",C68&lt;=YEAR(基本情報!$D$12)),"",MAX(0,C68-YEAR(基本情報!$D$12)-IF(OR(MONTH(基本情報!$D$12)&gt;1,DAY(基本情報!$D$12)&gt;1),1,0)))</f>
        <v>53</v>
      </c>
      <c r="K68" s="197">
        <v>0</v>
      </c>
      <c r="L68" s="170">
        <v>0</v>
      </c>
      <c r="M68" s="170">
        <v>0</v>
      </c>
      <c r="N68" s="170">
        <v>312</v>
      </c>
      <c r="O68" s="170">
        <f t="shared" si="4"/>
        <v>0</v>
      </c>
      <c r="P68" s="205">
        <f t="shared" si="5"/>
        <v>312</v>
      </c>
      <c r="Q68" s="171">
        <f>IF(D68&lt;基本情報!$C$17,支出計画!$C$5*(1+支出計画!$D$5)^(B68-1),支出計画!$C$6*(1+支出計画!$D$6)^(D68-基本情報!$C$17))-IF(AND(F68&gt;=22,F68&lt;&gt;""),支出計画!$C$45,0)</f>
        <v>187.75131247981923</v>
      </c>
      <c r="R68" s="170">
        <f>IF(C68&lt;住宅ローン償還表!$C$9,支出計画!$C$7,0)</f>
        <v>0</v>
      </c>
      <c r="S68" s="170">
        <f>IFERROR(VLOOKUP(C68,住宅ローン償還表!$C$17:$H$46,6,FALSE()),0)</f>
        <v>0</v>
      </c>
      <c r="T68" s="197">
        <f>(IF(ライフイベント表!F67="",0,IF(AND(ライフイベント表!F67&gt;=0,ライフイベント表!F67&lt;=5),支出計画!$D$24,IF(AND(ライフイベント表!F67&gt;=6,ライフイベント表!F67&lt;=11),支出計画!$D$25,IF(AND(ライフイベント表!F67&gt;=12,ライフイベント表!F67&lt;=14),支出計画!$D$26,IF(AND(ライフイベント表!F67&gt;=15,ライフイベント表!F67&lt;=17),支出計画!$D$27,IF(ライフイベント表!F67=18,支出計画!$D$28,IF(AND(ライフイベント表!F67&gt;=19,ライフイベント表!F67&lt;=21),支出計画!$D$29,0)))))))+IF(ライフイベント表!G67="",0,IF(AND(ライフイベント表!G67&gt;=0,ライフイベント表!G67&lt;=5),支出計画!$D$24,IF(AND(ライフイベント表!G67&gt;=6,ライフイベント表!G67&lt;=11),支出計画!$D$25,IF(AND(ライフイベント表!G67&gt;=12,ライフイベント表!G67&lt;=14),支出計画!$D$26,IF(AND(ライフイベント表!G67&gt;=15,ライフイベント表!G67&lt;=17),支出計画!$D$27,IF(ライフイベント表!G67=18,支出計画!$D$28,IF(AND(ライフイベント表!G67&gt;=19,ライフイベント表!G67&lt;=21),支出計画!$D$29,0)))))))+IF(ライフイベント表!H67="",0,IF(AND(ライフイベント表!H67&gt;=0,ライフイベント表!H67&lt;=5),支出計画!$D$24,IF(AND(ライフイベント表!H67&gt;=6,ライフイベント表!H67&lt;=11),支出計画!$D$25,IF(AND(ライフイベント表!H67&gt;=12,ライフイベント表!H67&lt;=14),支出計画!$D$26,IF(AND(ライフイベント表!H67&gt;=15,ライフイベント表!H67&lt;=17),支出計画!$D$27,IF(ライフイベント表!H67=18,支出計画!$D$28,IF(AND(ライフイベント表!H67&gt;=19,ライフイベント表!H67&lt;=21),支出計画!$D$29,0)))))))+IF(ライフイベント表!I67="",0,IF(AND(ライフイベント表!I67&gt;=0,ライフイベント表!I67&lt;=5),支出計画!$D$24,IF(AND(ライフイベント表!I67&gt;=6,ライフイベント表!I67&lt;=11),支出計画!$D$25,IF(AND(ライフイベント表!I67&gt;=12,ライフイベント表!I67&lt;=14),支出計画!$D$26,IF(AND(ライフイベント表!I67&gt;=15,ライフイベント表!I67&lt;=17),支出計画!$D$27,IF(ライフイベント表!I67=18,支出計画!$D$28,IF(AND(ライフイベント表!I67&gt;=19,ライフイベント表!I67&lt;=21),支出計画!$D$29,0)))))))+IF(ライフイベント表!J67="",0,IF(AND(ライフイベント表!J67&gt;=0,ライフイベント表!J67&lt;=5),支出計画!$D$24,IF(AND(ライフイベント表!J67&gt;=6,ライフイベント表!J67&lt;=11),支出計画!$D$25,IF(AND(ライフイベント表!J67&gt;=12,ライフイベント表!J67&lt;=14),支出計画!$D$26,IF(AND(ライフイベント表!J67&gt;=15,ライフイベント表!J67&lt;=17),支出計画!$D$27,IF(ライフイベント表!J67=18,支出計画!$D$28,IF(AND(ライフイベント表!J67&gt;=19,ライフイベント表!J67&lt;=21),支出計画!$D$29,0))))))))*POWER(1.02,B68-1)</f>
        <v>0</v>
      </c>
      <c r="U68" s="171">
        <f>SUMPRODUCT((保険!$G$5:$G$12&lt;=C68)*(保険!$H$5:$H$12&gt;=C68)*保険!$F$5:$F$12)</f>
        <v>0</v>
      </c>
      <c r="V68" s="171">
        <f>支出計画!$C$9</f>
        <v>36</v>
      </c>
      <c r="W68" s="170">
        <f>IF(AND(C68&gt;=支出計画!$D$35,C68&lt;=支出計画!$F$35,MOD(C68-支出計画!$D$35,支出計画!$E$35)=0),支出計画!$C$35,0)+IF(AND(C68&gt;=支出計画!$D$36,C68&lt;=支出計画!$F$36,MOD(C68-支出計画!$D$36,支出計画!$E$36)=0),支出計画!$C$36,0)+IF(C68=支出計画!$D$37,支出計画!$C$37,0)+IF(C68=支出計画!$D$38,支出計画!$C$38,0)</f>
        <v>0</v>
      </c>
      <c r="X68" s="172">
        <f t="shared" si="6"/>
        <v>223.75131247981923</v>
      </c>
      <c r="Y68" s="172">
        <f t="shared" si="7"/>
        <v>88.248687520180766</v>
      </c>
      <c r="Z68" s="172">
        <f>Z67*(1+金融資産!$C$15)+Y68</f>
        <v>1453.9809550620225</v>
      </c>
      <c r="AA68" s="1"/>
      <c r="AB68" s="1"/>
    </row>
    <row r="69" spans="1:28" ht="15" customHeight="1">
      <c r="A69" s="1"/>
      <c r="B69" s="167">
        <v>65</v>
      </c>
      <c r="C69" s="168">
        <f>基本情報!$C$3+B69-1</f>
        <v>2086</v>
      </c>
      <c r="D69" s="200">
        <f>IF(基本情報!$D$6="","",C69-YEAR(基本情報!$D$6)-IF(OR(MONTH(基本情報!$D$6)&gt;1,DAY(基本情報!$D$6)&gt;1),1,0))</f>
        <v>99</v>
      </c>
      <c r="E69" s="168">
        <f>IF(基本情報!$D$7="","",C69-YEAR(基本情報!$D$7)-IF(OR(MONTH(基本情報!$D$7)&gt;1,DAY(基本情報!$D$7)&gt;1),1,0))</f>
        <v>98</v>
      </c>
      <c r="F69" s="169">
        <v>67</v>
      </c>
      <c r="G69" s="169">
        <v>65</v>
      </c>
      <c r="H69" s="169">
        <v>58</v>
      </c>
      <c r="I69" s="169">
        <f>IF(OR(基本情報!$D$11="",C69&lt;=YEAR(基本情報!$D$11)),"",MAX(0,C69-YEAR(基本情報!$D$11)-IF(OR(MONTH(基本情報!$D$11)&gt;1,DAY(基本情報!$D$11)&gt;1),1,0)))</f>
        <v>56</v>
      </c>
      <c r="J69" s="169">
        <f>IF(OR(基本情報!$D$12="",C69&lt;=YEAR(基本情報!$D$12)),"",MAX(0,C69-YEAR(基本情報!$D$12)-IF(OR(MONTH(基本情報!$D$12)&gt;1,DAY(基本情報!$D$12)&gt;1),1,0)))</f>
        <v>54</v>
      </c>
      <c r="K69" s="197">
        <v>0</v>
      </c>
      <c r="L69" s="170">
        <v>0</v>
      </c>
      <c r="M69" s="170">
        <v>0</v>
      </c>
      <c r="N69" s="170">
        <v>312</v>
      </c>
      <c r="O69" s="170">
        <f t="shared" si="4"/>
        <v>0</v>
      </c>
      <c r="P69" s="205">
        <f t="shared" ref="P69:P70" si="8">SUM(K69:O69)</f>
        <v>312</v>
      </c>
      <c r="Q69" s="171">
        <f>IF(D69&lt;基本情報!$C$17,支出計画!$C$5*(1+支出計画!$D$5)^(B69-1),支出計画!$C$6*(1+支出計画!$D$6)^(D69-基本情報!$C$17))-IF(AND(F69&gt;=22,F69&lt;&gt;""),支出計画!$C$45,0)</f>
        <v>186.63255591742012</v>
      </c>
      <c r="R69" s="170">
        <f>IF(C69&lt;住宅ローン償還表!$C$9,支出計画!$C$7,0)</f>
        <v>0</v>
      </c>
      <c r="S69" s="170">
        <f>IFERROR(VLOOKUP(C69,住宅ローン償還表!$C$17:$H$46,6,FALSE()),0)</f>
        <v>0</v>
      </c>
      <c r="T69" s="197">
        <f>(IF(ライフイベント表!F68="",0,IF(AND(ライフイベント表!F68&gt;=0,ライフイベント表!F68&lt;=5),支出計画!$D$24,IF(AND(ライフイベント表!F68&gt;=6,ライフイベント表!F68&lt;=11),支出計画!$D$25,IF(AND(ライフイベント表!F68&gt;=12,ライフイベント表!F68&lt;=14),支出計画!$D$26,IF(AND(ライフイベント表!F68&gt;=15,ライフイベント表!F68&lt;=17),支出計画!$D$27,IF(ライフイベント表!F68=18,支出計画!$D$28,IF(AND(ライフイベント表!F68&gt;=19,ライフイベント表!F68&lt;=21),支出計画!$D$29,0)))))))+IF(ライフイベント表!G68="",0,IF(AND(ライフイベント表!G68&gt;=0,ライフイベント表!G68&lt;=5),支出計画!$D$24,IF(AND(ライフイベント表!G68&gt;=6,ライフイベント表!G68&lt;=11),支出計画!$D$25,IF(AND(ライフイベント表!G68&gt;=12,ライフイベント表!G68&lt;=14),支出計画!$D$26,IF(AND(ライフイベント表!G68&gt;=15,ライフイベント表!G68&lt;=17),支出計画!$D$27,IF(ライフイベント表!G68=18,支出計画!$D$28,IF(AND(ライフイベント表!G68&gt;=19,ライフイベント表!G68&lt;=21),支出計画!$D$29,0)))))))+IF(ライフイベント表!H68="",0,IF(AND(ライフイベント表!H68&gt;=0,ライフイベント表!H68&lt;=5),支出計画!$D$24,IF(AND(ライフイベント表!H68&gt;=6,ライフイベント表!H68&lt;=11),支出計画!$D$25,IF(AND(ライフイベント表!H68&gt;=12,ライフイベント表!H68&lt;=14),支出計画!$D$26,IF(AND(ライフイベント表!H68&gt;=15,ライフイベント表!H68&lt;=17),支出計画!$D$27,IF(ライフイベント表!H68=18,支出計画!$D$28,IF(AND(ライフイベント表!H68&gt;=19,ライフイベント表!H68&lt;=21),支出計画!$D$29,0)))))))+IF(ライフイベント表!I68="",0,IF(AND(ライフイベント表!I68&gt;=0,ライフイベント表!I68&lt;=5),支出計画!$D$24,IF(AND(ライフイベント表!I68&gt;=6,ライフイベント表!I68&lt;=11),支出計画!$D$25,IF(AND(ライフイベント表!I68&gt;=12,ライフイベント表!I68&lt;=14),支出計画!$D$26,IF(AND(ライフイベント表!I68&gt;=15,ライフイベント表!I68&lt;=17),支出計画!$D$27,IF(ライフイベント表!I68=18,支出計画!$D$28,IF(AND(ライフイベント表!I68&gt;=19,ライフイベント表!I68&lt;=21),支出計画!$D$29,0)))))))+IF(ライフイベント表!J68="",0,IF(AND(ライフイベント表!J68&gt;=0,ライフイベント表!J68&lt;=5),支出計画!$D$24,IF(AND(ライフイベント表!J68&gt;=6,ライフイベント表!J68&lt;=11),支出計画!$D$25,IF(AND(ライフイベント表!J68&gt;=12,ライフイベント表!J68&lt;=14),支出計画!$D$26,IF(AND(ライフイベント表!J68&gt;=15,ライフイベント表!J68&lt;=17),支出計画!$D$27,IF(ライフイベント表!J68=18,支出計画!$D$28,IF(AND(ライフイベント表!J68&gt;=19,ライフイベント表!J68&lt;=21),支出計画!$D$29,0))))))))*POWER(1.02,B69-1)</f>
        <v>0</v>
      </c>
      <c r="U69" s="171">
        <f>SUMPRODUCT((保険!$G$5:$G$12&lt;=C69)*(保険!$H$5:$H$12&gt;=C69)*保険!$F$5:$F$12)</f>
        <v>0</v>
      </c>
      <c r="V69" s="171">
        <f>支出計画!$C$9</f>
        <v>36</v>
      </c>
      <c r="W69" s="170">
        <f>IF(AND(C69&gt;=支出計画!$D$35,C69&lt;=支出計画!$F$35,MOD(C69-支出計画!$D$35,支出計画!$E$35)=0),支出計画!$C$35,0)+IF(AND(C69&gt;=支出計画!$D$36,C69&lt;=支出計画!$F$36,MOD(C69-支出計画!$D$36,支出計画!$E$36)=0),支出計画!$C$36,0)+IF(C69=支出計画!$D$37,支出計画!$C$37,0)+IF(C69=支出計画!$D$38,支出計画!$C$38,0)</f>
        <v>0</v>
      </c>
      <c r="X69" s="172">
        <f t="shared" ref="X69:X70" si="9">SUM(Q69:W69)</f>
        <v>222.63255591742012</v>
      </c>
      <c r="Y69" s="172">
        <f t="shared" ref="Y69:Y70" si="10">P69-X69</f>
        <v>89.36744408257988</v>
      </c>
      <c r="Z69" s="172">
        <f>Z68*(1+金融資産!$C$15)+Y69</f>
        <v>1550.6183039199123</v>
      </c>
      <c r="AA69" s="1"/>
      <c r="AB69" s="1"/>
    </row>
    <row r="70" spans="1:28" ht="15" customHeight="1">
      <c r="A70" s="1"/>
      <c r="B70" s="167">
        <v>66</v>
      </c>
      <c r="C70" s="168">
        <f>基本情報!$C$3+B70-1</f>
        <v>2087</v>
      </c>
      <c r="D70" s="200">
        <f>IF(基本情報!$D$6="","",C70-YEAR(基本情報!$D$6)-IF(OR(MONTH(基本情報!$D$6)&gt;1,DAY(基本情報!$D$6)&gt;1),1,0))</f>
        <v>100</v>
      </c>
      <c r="E70" s="168">
        <f>IF(基本情報!$D$7="","",C70-YEAR(基本情報!$D$7)-IF(OR(MONTH(基本情報!$D$7)&gt;1,DAY(基本情報!$D$7)&gt;1),1,0))</f>
        <v>99</v>
      </c>
      <c r="F70" s="169">
        <v>68</v>
      </c>
      <c r="G70" s="169">
        <v>66</v>
      </c>
      <c r="H70" s="169">
        <v>59</v>
      </c>
      <c r="I70" s="169">
        <f>IF(OR(基本情報!$D$11="",C70&lt;=YEAR(基本情報!$D$11)),"",MAX(0,C70-YEAR(基本情報!$D$11)-IF(OR(MONTH(基本情報!$D$11)&gt;1,DAY(基本情報!$D$11)&gt;1),1,0)))</f>
        <v>57</v>
      </c>
      <c r="J70" s="169">
        <f>IF(OR(基本情報!$D$12="",C70&lt;=YEAR(基本情報!$D$12)),"",MAX(0,C70-YEAR(基本情報!$D$12)-IF(OR(MONTH(基本情報!$D$12)&gt;1,DAY(基本情報!$D$12)&gt;1),1,0)))</f>
        <v>55</v>
      </c>
      <c r="K70" s="197">
        <v>0</v>
      </c>
      <c r="L70" s="170">
        <v>0</v>
      </c>
      <c r="M70" s="170">
        <v>0</v>
      </c>
      <c r="N70" s="170">
        <v>312</v>
      </c>
      <c r="O70" s="170">
        <f t="shared" si="4"/>
        <v>0</v>
      </c>
      <c r="P70" s="205">
        <f t="shared" si="8"/>
        <v>312</v>
      </c>
      <c r="Q70" s="171">
        <f>IF(D70&lt;基本情報!$C$17,支出計画!$C$5*(1+支出計画!$D$5)^(B70-1),支出計画!$C$6*(1+支出計画!$D$6)^(D70-基本情報!$C$17))-IF(AND(F70&gt;=22,F70&lt;&gt;""),支出計画!$C$45,0)</f>
        <v>185.51939313783305</v>
      </c>
      <c r="R70" s="170">
        <f>IF(C70&lt;住宅ローン償還表!$C$9,支出計画!$C$7,0)</f>
        <v>0</v>
      </c>
      <c r="S70" s="170">
        <f>IFERROR(VLOOKUP(C70,住宅ローン償還表!$C$17:$H$46,6,FALSE()),0)</f>
        <v>0</v>
      </c>
      <c r="T70" s="197">
        <f>(IF(ライフイベント表!F69="",0,IF(AND(ライフイベント表!F69&gt;=0,ライフイベント表!F69&lt;=5),支出計画!$D$24,IF(AND(ライフイベント表!F69&gt;=6,ライフイベント表!F69&lt;=11),支出計画!$D$25,IF(AND(ライフイベント表!F69&gt;=12,ライフイベント表!F69&lt;=14),支出計画!$D$26,IF(AND(ライフイベント表!F69&gt;=15,ライフイベント表!F69&lt;=17),支出計画!$D$27,IF(ライフイベント表!F69=18,支出計画!$D$28,IF(AND(ライフイベント表!F69&gt;=19,ライフイベント表!F69&lt;=21),支出計画!$D$29,0)))))))+IF(ライフイベント表!G69="",0,IF(AND(ライフイベント表!G69&gt;=0,ライフイベント表!G69&lt;=5),支出計画!$D$24,IF(AND(ライフイベント表!G69&gt;=6,ライフイベント表!G69&lt;=11),支出計画!$D$25,IF(AND(ライフイベント表!G69&gt;=12,ライフイベント表!G69&lt;=14),支出計画!$D$26,IF(AND(ライフイベント表!G69&gt;=15,ライフイベント表!G69&lt;=17),支出計画!$D$27,IF(ライフイベント表!G69=18,支出計画!$D$28,IF(AND(ライフイベント表!G69&gt;=19,ライフイベント表!G69&lt;=21),支出計画!$D$29,0)))))))+IF(ライフイベント表!H69="",0,IF(AND(ライフイベント表!H69&gt;=0,ライフイベント表!H69&lt;=5),支出計画!$D$24,IF(AND(ライフイベント表!H69&gt;=6,ライフイベント表!H69&lt;=11),支出計画!$D$25,IF(AND(ライフイベント表!H69&gt;=12,ライフイベント表!H69&lt;=14),支出計画!$D$26,IF(AND(ライフイベント表!H69&gt;=15,ライフイベント表!H69&lt;=17),支出計画!$D$27,IF(ライフイベント表!H69=18,支出計画!$D$28,IF(AND(ライフイベント表!H69&gt;=19,ライフイベント表!H69&lt;=21),支出計画!$D$29,0)))))))+IF(ライフイベント表!I69="",0,IF(AND(ライフイベント表!I69&gt;=0,ライフイベント表!I69&lt;=5),支出計画!$D$24,IF(AND(ライフイベント表!I69&gt;=6,ライフイベント表!I69&lt;=11),支出計画!$D$25,IF(AND(ライフイベント表!I69&gt;=12,ライフイベント表!I69&lt;=14),支出計画!$D$26,IF(AND(ライフイベント表!I69&gt;=15,ライフイベント表!I69&lt;=17),支出計画!$D$27,IF(ライフイベント表!I69=18,支出計画!$D$28,IF(AND(ライフイベント表!I69&gt;=19,ライフイベント表!I69&lt;=21),支出計画!$D$29,0)))))))+IF(ライフイベント表!J69="",0,IF(AND(ライフイベント表!J69&gt;=0,ライフイベント表!J69&lt;=5),支出計画!$D$24,IF(AND(ライフイベント表!J69&gt;=6,ライフイベント表!J69&lt;=11),支出計画!$D$25,IF(AND(ライフイベント表!J69&gt;=12,ライフイベント表!J69&lt;=14),支出計画!$D$26,IF(AND(ライフイベント表!J69&gt;=15,ライフイベント表!J69&lt;=17),支出計画!$D$27,IF(ライフイベント表!J69=18,支出計画!$D$28,IF(AND(ライフイベント表!J69&gt;=19,ライフイベント表!J69&lt;=21),支出計画!$D$29,0))))))))*POWER(1.02,B70-1)</f>
        <v>0</v>
      </c>
      <c r="U70" s="171">
        <f>SUMPRODUCT((保険!$G$5:$G$12&lt;=C70)*(保険!$H$5:$H$12&gt;=C70)*保険!$F$5:$F$12)</f>
        <v>0</v>
      </c>
      <c r="V70" s="171">
        <f>支出計画!$C$9</f>
        <v>36</v>
      </c>
      <c r="W70" s="170">
        <f>IF(AND(C70&gt;=支出計画!$D$35,C70&lt;=支出計画!$F$35,MOD(C70-支出計画!$D$35,支出計画!$E$35)=0),支出計画!$C$35,0)+IF(AND(C70&gt;=支出計画!$D$36,C70&lt;=支出計画!$F$36,MOD(C70-支出計画!$D$36,支出計画!$E$36)=0),支出計画!$C$36,0)+IF(C70=支出計画!$D$37,支出計画!$C$37,0)+IF(C70=支出計画!$D$38,支出計画!$C$38,0)</f>
        <v>0</v>
      </c>
      <c r="X70" s="172">
        <f t="shared" si="9"/>
        <v>221.51939313783305</v>
      </c>
      <c r="Y70" s="172">
        <f t="shared" si="10"/>
        <v>90.480606862166951</v>
      </c>
      <c r="Z70" s="172">
        <f>Z69*(1+金融資産!$C$15)+Y70</f>
        <v>1648.8520023016786</v>
      </c>
      <c r="AA70" s="1"/>
      <c r="AB70" s="1"/>
    </row>
    <row r="71" spans="1:28" ht="14.25" customHeight="1">
      <c r="A71" s="1"/>
      <c r="B71" s="188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>
      <c r="A72" s="1"/>
      <c r="B72" s="188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>
      <c r="A73" s="1"/>
      <c r="B73" s="188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>
      <c r="A74" s="1"/>
      <c r="B74" s="188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>
      <c r="A75" s="1"/>
      <c r="B75" s="188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>
      <c r="A76" s="1"/>
      <c r="B76" s="188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>
      <c r="A77" s="1"/>
      <c r="B77" s="188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>
      <c r="A78" s="1"/>
      <c r="B78" s="188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>
      <c r="A79" s="1"/>
      <c r="B79" s="188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>
      <c r="A80" s="1"/>
      <c r="B80" s="188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>
      <c r="A81" s="1"/>
      <c r="B81" s="188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>
      <c r="A82" s="1"/>
      <c r="B82" s="188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>
      <c r="A83" s="1"/>
      <c r="B83" s="188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>
      <c r="A84" s="1"/>
      <c r="B84" s="188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>
      <c r="A85" s="1"/>
      <c r="B85" s="188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>
      <c r="A86" s="1"/>
      <c r="B86" s="188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>
      <c r="A87" s="1"/>
      <c r="B87" s="188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>
      <c r="A88" s="1"/>
      <c r="B88" s="188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>
      <c r="A89" s="1"/>
      <c r="B89" s="188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>
      <c r="A90" s="1"/>
      <c r="B90" s="188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>
      <c r="A91" s="1"/>
      <c r="B91" s="188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>
      <c r="A92" s="1"/>
      <c r="B92" s="188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>
      <c r="A93" s="1"/>
      <c r="B93" s="188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>
      <c r="A94" s="1"/>
      <c r="B94" s="188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>
      <c r="A95" s="1"/>
      <c r="B95" s="188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>
      <c r="A96" s="1"/>
      <c r="B96" s="188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>
      <c r="A97" s="1"/>
      <c r="B97" s="188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>
      <c r="A98" s="1"/>
      <c r="B98" s="188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>
      <c r="A99" s="1"/>
      <c r="B99" s="188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/>
    <row r="272" spans="1:28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O3:V3"/>
    <mergeCell ref="B1:X1"/>
    <mergeCell ref="B3:C3"/>
    <mergeCell ref="I3:N3"/>
    <mergeCell ref="B2:X2"/>
    <mergeCell ref="W3:X3"/>
  </mergeCells>
  <phoneticPr fontId="37"/>
  <conditionalFormatting sqref="W5:W70">
    <cfRule type="expression" dxfId="4" priority="3">
      <formula>W5&lt;0</formula>
    </cfRule>
  </conditionalFormatting>
  <conditionalFormatting sqref="X5:X70">
    <cfRule type="expression" dxfId="3" priority="2">
      <formula>X5&lt;0</formula>
    </cfRule>
  </conditionalFormatting>
  <conditionalFormatting sqref="Y1:Z1000">
    <cfRule type="cellIs" dxfId="2" priority="4" operator="lessThan">
      <formula>0</formula>
    </cfRule>
  </conditionalFormatting>
  <conditionalFormatting sqref="Z14">
    <cfRule type="cellIs" dxfId="1" priority="1" operator="lessThan">
      <formula>0</formula>
    </cfRule>
  </conditionalFormatting>
  <pageMargins left="0.7" right="0.7" top="0.75" bottom="0.75" header="0" footer="0"/>
  <pageSetup paperSize="9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1000"/>
  <sheetViews>
    <sheetView showGridLines="0" topLeftCell="A31" workbookViewId="0">
      <selection activeCell="C37" sqref="C37"/>
    </sheetView>
  </sheetViews>
  <sheetFormatPr defaultColWidth="14.453125" defaultRowHeight="15" customHeight="1"/>
  <cols>
    <col min="1" max="1" width="3" customWidth="1"/>
    <col min="2" max="2" width="22" customWidth="1"/>
    <col min="3" max="8" width="16" customWidth="1"/>
  </cols>
  <sheetData>
    <row r="1" spans="1:26" ht="17.25" customHeight="1">
      <c r="A1" s="1"/>
      <c r="B1" s="239" t="s">
        <v>400</v>
      </c>
      <c r="C1" s="223"/>
      <c r="D1" s="223"/>
      <c r="E1" s="223"/>
      <c r="F1" s="223"/>
      <c r="G1" s="223"/>
      <c r="H1" s="22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1"/>
      <c r="B2" s="248" t="s">
        <v>401</v>
      </c>
      <c r="C2" s="223"/>
      <c r="D2" s="223"/>
      <c r="E2" s="223"/>
      <c r="F2" s="223"/>
      <c r="G2" s="223"/>
      <c r="H2" s="22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1"/>
      <c r="B4" s="238" t="s">
        <v>402</v>
      </c>
      <c r="C4" s="223"/>
      <c r="D4" s="223"/>
      <c r="E4" s="223"/>
      <c r="F4" s="223"/>
      <c r="G4" s="223"/>
      <c r="H4" s="22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1"/>
      <c r="B5" s="18" t="s">
        <v>403</v>
      </c>
      <c r="C5" s="189">
        <f>基本情報!$E$6</f>
        <v>35</v>
      </c>
      <c r="D5" s="143" t="s">
        <v>404</v>
      </c>
      <c r="E5" s="6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"/>
      <c r="B6" s="18" t="s">
        <v>405</v>
      </c>
      <c r="C6" s="190" t="str">
        <f>IF(基本情報!$E$7="","なし","あり")</f>
        <v>あり</v>
      </c>
      <c r="D6" s="143"/>
      <c r="E6" s="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1"/>
      <c r="B7" s="18" t="s">
        <v>406</v>
      </c>
      <c r="C7" s="189">
        <f>IF(基本情報!$E$8="",0,1)+IF(基本情報!$E$9="",0,1)+IF(基本情報!$E$10="",0,1)</f>
        <v>2</v>
      </c>
      <c r="D7" s="143" t="s">
        <v>407</v>
      </c>
      <c r="E7" s="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1"/>
      <c r="B8" s="18" t="s">
        <v>408</v>
      </c>
      <c r="C8" s="189">
        <f>1+IF(C6="あり",1,0)+C7</f>
        <v>4</v>
      </c>
      <c r="D8" s="143" t="s">
        <v>407</v>
      </c>
      <c r="E8" s="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1"/>
      <c r="B11" s="238" t="s">
        <v>409</v>
      </c>
      <c r="C11" s="223"/>
      <c r="D11" s="223"/>
      <c r="E11" s="223"/>
      <c r="F11" s="223"/>
      <c r="G11" s="223"/>
      <c r="H11" s="2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"/>
      <c r="B12" s="21" t="s">
        <v>410</v>
      </c>
      <c r="C12" s="21" t="s">
        <v>411</v>
      </c>
      <c r="D12" s="21" t="s">
        <v>412</v>
      </c>
      <c r="E12" s="21" t="s">
        <v>177</v>
      </c>
      <c r="F12" s="21" t="s">
        <v>413</v>
      </c>
      <c r="G12" s="21" t="s">
        <v>62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1"/>
      <c r="B13" s="18" t="s">
        <v>414</v>
      </c>
      <c r="C13" s="19">
        <v>20</v>
      </c>
      <c r="D13" s="19">
        <v>29</v>
      </c>
      <c r="E13" s="27">
        <v>342</v>
      </c>
      <c r="F13" s="27">
        <v>280</v>
      </c>
      <c r="G13" s="117" t="s">
        <v>415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1"/>
      <c r="B14" s="140" t="s">
        <v>416</v>
      </c>
      <c r="C14" s="19">
        <v>30</v>
      </c>
      <c r="D14" s="19">
        <v>34</v>
      </c>
      <c r="E14" s="27">
        <v>460</v>
      </c>
      <c r="F14" s="27">
        <v>336</v>
      </c>
      <c r="G14" s="11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1"/>
      <c r="B15" s="140" t="s">
        <v>417</v>
      </c>
      <c r="C15" s="19">
        <v>35</v>
      </c>
      <c r="D15" s="19">
        <v>39</v>
      </c>
      <c r="E15" s="27">
        <v>488</v>
      </c>
      <c r="F15" s="27">
        <v>336</v>
      </c>
      <c r="G15" s="11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1"/>
      <c r="B16" s="140" t="s">
        <v>418</v>
      </c>
      <c r="C16" s="19">
        <v>40</v>
      </c>
      <c r="D16" s="19">
        <v>44</v>
      </c>
      <c r="E16" s="27">
        <v>516</v>
      </c>
      <c r="F16" s="27">
        <v>397</v>
      </c>
      <c r="G16" s="117" t="s">
        <v>419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1"/>
      <c r="B17" s="140" t="s">
        <v>420</v>
      </c>
      <c r="C17" s="19">
        <v>45</v>
      </c>
      <c r="D17" s="19">
        <v>49</v>
      </c>
      <c r="E17" s="27">
        <v>540</v>
      </c>
      <c r="F17" s="27">
        <v>397</v>
      </c>
      <c r="G17" s="1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"/>
      <c r="B18" s="140" t="s">
        <v>421</v>
      </c>
      <c r="C18" s="19">
        <v>50</v>
      </c>
      <c r="D18" s="19">
        <v>54</v>
      </c>
      <c r="E18" s="27">
        <v>559</v>
      </c>
      <c r="F18" s="27">
        <v>428</v>
      </c>
      <c r="G18" s="11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"/>
      <c r="B19" s="140" t="s">
        <v>422</v>
      </c>
      <c r="C19" s="19">
        <v>55</v>
      </c>
      <c r="D19" s="19">
        <v>59</v>
      </c>
      <c r="E19" s="27">
        <v>572</v>
      </c>
      <c r="F19" s="27">
        <v>428</v>
      </c>
      <c r="G19" s="11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"/>
      <c r="B20" s="140" t="s">
        <v>423</v>
      </c>
      <c r="C20" s="19">
        <v>60</v>
      </c>
      <c r="D20" s="19">
        <v>64</v>
      </c>
      <c r="E20" s="27">
        <v>460</v>
      </c>
      <c r="F20" s="27">
        <v>374</v>
      </c>
      <c r="G20" s="117" t="s">
        <v>424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"/>
      <c r="B21" s="140" t="s">
        <v>425</v>
      </c>
      <c r="C21" s="19">
        <v>65</v>
      </c>
      <c r="D21" s="19">
        <v>69</v>
      </c>
      <c r="E21" s="27">
        <v>370</v>
      </c>
      <c r="F21" s="27">
        <v>374</v>
      </c>
      <c r="G21" s="117" t="s">
        <v>426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"/>
      <c r="B22" s="140" t="s">
        <v>427</v>
      </c>
      <c r="C22" s="19">
        <v>70</v>
      </c>
      <c r="D22" s="19">
        <v>74</v>
      </c>
      <c r="E22" s="27">
        <v>305</v>
      </c>
      <c r="F22" s="27">
        <v>303</v>
      </c>
      <c r="G22" s="11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1"/>
      <c r="B23" s="140" t="s">
        <v>428</v>
      </c>
      <c r="C23" s="19">
        <v>75</v>
      </c>
      <c r="D23" s="19">
        <v>100</v>
      </c>
      <c r="E23" s="27">
        <v>305</v>
      </c>
      <c r="F23" s="27">
        <v>303</v>
      </c>
      <c r="G23" s="117" t="s">
        <v>429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1"/>
      <c r="B25" s="238" t="s">
        <v>430</v>
      </c>
      <c r="C25" s="223"/>
      <c r="D25" s="223"/>
      <c r="E25" s="223"/>
      <c r="F25" s="223"/>
      <c r="G25" s="223"/>
      <c r="H25" s="22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1"/>
      <c r="B26" s="21" t="s">
        <v>308</v>
      </c>
      <c r="C26" s="21" t="s">
        <v>431</v>
      </c>
      <c r="D26" s="21" t="s">
        <v>432</v>
      </c>
      <c r="E26" s="21" t="s">
        <v>62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1"/>
      <c r="B27" s="18">
        <v>1</v>
      </c>
      <c r="C27" s="191">
        <v>0.55000000000000004</v>
      </c>
      <c r="D27" s="191">
        <v>0.55000000000000004</v>
      </c>
      <c r="E27" s="117" t="s">
        <v>433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18">
        <v>2</v>
      </c>
      <c r="C28" s="191">
        <v>0.85</v>
      </c>
      <c r="D28" s="191">
        <v>0.85</v>
      </c>
      <c r="E28" s="117" t="s">
        <v>434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/>
      <c r="B29" s="18">
        <v>3</v>
      </c>
      <c r="C29" s="191">
        <v>1</v>
      </c>
      <c r="D29" s="191">
        <v>1</v>
      </c>
      <c r="E29" s="117" t="s">
        <v>435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"/>
      <c r="B30" s="18">
        <v>4</v>
      </c>
      <c r="C30" s="191">
        <v>1.1000000000000001</v>
      </c>
      <c r="D30" s="191">
        <v>1.1499999999999999</v>
      </c>
      <c r="E30" s="117" t="s">
        <v>436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18">
        <v>5</v>
      </c>
      <c r="C31" s="191">
        <v>1.18</v>
      </c>
      <c r="D31" s="191">
        <v>1.25</v>
      </c>
      <c r="E31" s="117" t="s">
        <v>437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1"/>
      <c r="B32" s="18">
        <v>6</v>
      </c>
      <c r="C32" s="191">
        <v>1.25</v>
      </c>
      <c r="D32" s="191">
        <v>1.32</v>
      </c>
      <c r="E32" s="117" t="s">
        <v>438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1"/>
      <c r="B35" s="238" t="s">
        <v>439</v>
      </c>
      <c r="C35" s="223"/>
      <c r="D35" s="223"/>
      <c r="E35" s="223"/>
      <c r="F35" s="223"/>
      <c r="G35" s="223"/>
      <c r="H35" s="22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1"/>
      <c r="B36" s="21" t="s">
        <v>79</v>
      </c>
      <c r="C36" s="21" t="s">
        <v>316</v>
      </c>
      <c r="D36" s="21" t="s">
        <v>440</v>
      </c>
      <c r="E36" s="21" t="s">
        <v>441</v>
      </c>
      <c r="F36" s="21" t="s">
        <v>178</v>
      </c>
      <c r="G36" s="21" t="s">
        <v>442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"/>
      <c r="B37" s="18" t="s">
        <v>317</v>
      </c>
      <c r="C37" s="172">
        <f>収入計画!$C$5+IF(基本情報!$E$7="",0,収入計画!$C$6)</f>
        <v>800</v>
      </c>
      <c r="D37" s="172">
        <f>SUMPRODUCT((C5&gt;=$C$13:$C$23)*(C5&lt;=$D$13:$D$23)*$E$13:$E$23)*VLOOKUP(MIN(C8,6),$B$27:$D$32,2,FALSE())</f>
        <v>536.80000000000007</v>
      </c>
      <c r="E37" s="172">
        <f>C37-D37</f>
        <v>263.19999999999993</v>
      </c>
      <c r="F37" s="172">
        <f>IFERROR(C37/D37,"")</f>
        <v>1.4903129657228016</v>
      </c>
      <c r="G37" s="192" t="str">
        <f>IF(F37="","",IF(F37&gt;=1.1,"上回る",IF(F37&gt;=0.9,"概ね平均",IF(F37&gt;=0.7,"やや下回る","下回る"))))</f>
        <v>上回る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1"/>
      <c r="B38" s="18" t="s">
        <v>318</v>
      </c>
      <c r="C38" s="172">
        <f>SUM(支出計画!$C$5:$C$14)</f>
        <v>864.96</v>
      </c>
      <c r="D38" s="172">
        <f>SUMPRODUCT((C5&gt;=$C$13:$C$23)*(C5&lt;=$D$13:$D$23)*$F$13:$F$23)*VLOOKUP(MIN(C8,6),$B$27:$D$32,3,FALSE())</f>
        <v>386.4</v>
      </c>
      <c r="E38" s="172">
        <f>C38-D38</f>
        <v>478.56000000000006</v>
      </c>
      <c r="F38" s="172">
        <f>IFERROR(C38/D38,"")</f>
        <v>2.2385093167701866</v>
      </c>
      <c r="G38" s="192" t="str">
        <f>IF(F38="","",IF(F38&lt;=0.9,"下回る(節約)",IF(F38&lt;=1.1,"概ね平均",IF(F38&lt;=1.3,"やや上回る","上回る"))))</f>
        <v>上回る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"/>
      <c r="B39" s="18" t="s">
        <v>443</v>
      </c>
      <c r="C39" s="172">
        <f>C37-C38</f>
        <v>-64.960000000000036</v>
      </c>
      <c r="D39" s="172">
        <f>D37-D38</f>
        <v>150.40000000000009</v>
      </c>
      <c r="E39" s="172">
        <f>C39-D39</f>
        <v>-215.36000000000013</v>
      </c>
      <c r="F39" s="172">
        <f>IFERROR(IF(D39=0,"-",C39/D39),"")</f>
        <v>-0.43191489361702123</v>
      </c>
      <c r="G39" s="192" t="str">
        <f>IF(C39&gt;=D39,"良好","要改善")</f>
        <v>要改善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1:H1"/>
    <mergeCell ref="B35:H35"/>
    <mergeCell ref="B4:H4"/>
    <mergeCell ref="B2:H2"/>
    <mergeCell ref="B11:H11"/>
    <mergeCell ref="B25:H25"/>
  </mergeCells>
  <phoneticPr fontId="37"/>
  <conditionalFormatting sqref="G37:G39">
    <cfRule type="expression" dxfId="0" priority="1">
      <formula>$G37="良好"</formula>
    </cfRule>
  </conditionalFormatting>
  <pageMargins left="0.7" right="0.7" top="0.75" bottom="0.75" header="0" footer="0"/>
  <pageSetup paperSize="9" orientation="landscape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workbookViewId="0"/>
  </sheetViews>
  <sheetFormatPr defaultColWidth="14.453125" defaultRowHeight="15" customHeight="1"/>
  <cols>
    <col min="1" max="6" width="8.726562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37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opLeftCell="A7" workbookViewId="0">
      <selection activeCell="C12" sqref="C12"/>
    </sheetView>
  </sheetViews>
  <sheetFormatPr defaultColWidth="14.453125" defaultRowHeight="15" customHeight="1"/>
  <cols>
    <col min="1" max="1" width="3" customWidth="1"/>
    <col min="2" max="2" width="22" customWidth="1"/>
    <col min="3" max="3" width="26.81640625" customWidth="1"/>
    <col min="4" max="4" width="16" customWidth="1"/>
    <col min="5" max="5" width="13.26953125" customWidth="1"/>
    <col min="6" max="6" width="14.08984375" customWidth="1"/>
    <col min="7" max="7" width="28" customWidth="1"/>
  </cols>
  <sheetData>
    <row r="1" spans="1:26" ht="17.25" customHeight="1">
      <c r="A1" s="1"/>
      <c r="B1" s="239" t="s">
        <v>54</v>
      </c>
      <c r="C1" s="223"/>
      <c r="D1" s="223"/>
      <c r="E1" s="223"/>
      <c r="F1" s="223"/>
      <c r="G1" s="22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1"/>
      <c r="B3" s="18" t="s">
        <v>55</v>
      </c>
      <c r="C3" s="19">
        <v>2022</v>
      </c>
      <c r="D3" s="20" t="s">
        <v>56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1"/>
      <c r="B5" s="21" t="s">
        <v>57</v>
      </c>
      <c r="C5" s="21" t="s">
        <v>58</v>
      </c>
      <c r="D5" s="21" t="s">
        <v>59</v>
      </c>
      <c r="E5" s="21" t="s">
        <v>60</v>
      </c>
      <c r="F5" s="22" t="s">
        <v>61</v>
      </c>
      <c r="G5" s="21" t="s">
        <v>62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"/>
      <c r="B6" s="18" t="s">
        <v>63</v>
      </c>
      <c r="C6" s="23" t="s">
        <v>64</v>
      </c>
      <c r="D6" s="24">
        <v>31503</v>
      </c>
      <c r="E6" s="25">
        <f t="shared" ref="E6:E12" si="0">IF(D6="","",IF(OR(YEAR(D6)&gt;$C$3,AND(YEAR(D6)=$C$3,OR(MONTH(D6)&gt;1,DAY(D6)&gt;1))),"",$C$3-YEAR(D6)-IF(OR(MONTH(D6)&gt;1,DAY(D6)&gt;1),1,0)))</f>
        <v>35</v>
      </c>
      <c r="F6" s="25">
        <f t="shared" ref="F6:F12" si="1">IF(E6="","",$C$3+(100-E6))</f>
        <v>2087</v>
      </c>
      <c r="G6" s="2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1"/>
      <c r="B7" s="18" t="s">
        <v>65</v>
      </c>
      <c r="C7" s="23" t="s">
        <v>66</v>
      </c>
      <c r="D7" s="24">
        <v>31898</v>
      </c>
      <c r="E7" s="25">
        <f t="shared" si="0"/>
        <v>34</v>
      </c>
      <c r="F7" s="25">
        <f t="shared" si="1"/>
        <v>2088</v>
      </c>
      <c r="G7" s="2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1"/>
      <c r="B8" s="18" t="s">
        <v>67</v>
      </c>
      <c r="C8" s="23" t="s">
        <v>68</v>
      </c>
      <c r="D8" s="24">
        <v>43252</v>
      </c>
      <c r="E8" s="25">
        <f t="shared" si="0"/>
        <v>3</v>
      </c>
      <c r="F8" s="25">
        <f t="shared" si="1"/>
        <v>2119</v>
      </c>
      <c r="G8" s="2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1"/>
      <c r="B9" s="18" t="s">
        <v>69</v>
      </c>
      <c r="C9" s="23" t="s">
        <v>70</v>
      </c>
      <c r="D9" s="24">
        <v>44013</v>
      </c>
      <c r="E9" s="25">
        <f t="shared" si="0"/>
        <v>1</v>
      </c>
      <c r="F9" s="25">
        <f t="shared" si="1"/>
        <v>2121</v>
      </c>
      <c r="G9" s="26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1"/>
      <c r="B10" s="18" t="s">
        <v>71</v>
      </c>
      <c r="C10" s="23" t="s">
        <v>72</v>
      </c>
      <c r="D10" s="24">
        <v>46600</v>
      </c>
      <c r="E10" s="25" t="str">
        <f t="shared" si="0"/>
        <v/>
      </c>
      <c r="F10" s="25" t="str">
        <f t="shared" si="1"/>
        <v/>
      </c>
      <c r="G10" s="23" t="s">
        <v>73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8" t="s">
        <v>74</v>
      </c>
      <c r="C11" s="23" t="s">
        <v>75</v>
      </c>
      <c r="D11" s="24">
        <v>47362</v>
      </c>
      <c r="E11" s="25" t="str">
        <f t="shared" si="0"/>
        <v/>
      </c>
      <c r="F11" s="25" t="str">
        <f t="shared" si="1"/>
        <v/>
      </c>
      <c r="G11" s="23" t="s">
        <v>73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8" t="s">
        <v>76</v>
      </c>
      <c r="C12" s="23" t="s">
        <v>77</v>
      </c>
      <c r="D12" s="24">
        <v>48122</v>
      </c>
      <c r="E12" s="25" t="str">
        <f t="shared" si="0"/>
        <v/>
      </c>
      <c r="F12" s="25" t="str">
        <f t="shared" si="1"/>
        <v/>
      </c>
      <c r="G12" s="23" t="s">
        <v>73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1"/>
      <c r="B13" s="238" t="s">
        <v>78</v>
      </c>
      <c r="C13" s="223"/>
      <c r="D13" s="223"/>
      <c r="E13" s="223"/>
      <c r="F13" s="223"/>
      <c r="G13" s="22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1"/>
      <c r="B14" s="21" t="s">
        <v>79</v>
      </c>
      <c r="C14" s="21" t="s">
        <v>80</v>
      </c>
      <c r="D14" s="21" t="s">
        <v>8</v>
      </c>
      <c r="E14" s="21" t="s">
        <v>62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1"/>
      <c r="B15" s="18" t="s">
        <v>81</v>
      </c>
      <c r="C15" s="27">
        <v>65</v>
      </c>
      <c r="D15" s="27">
        <v>65</v>
      </c>
      <c r="E15" s="28" t="s">
        <v>82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1"/>
      <c r="B16" s="18" t="s">
        <v>83</v>
      </c>
      <c r="C16" s="27">
        <v>1500</v>
      </c>
      <c r="D16" s="27">
        <v>0</v>
      </c>
      <c r="E16" s="28" t="s">
        <v>84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1"/>
      <c r="B17" s="18" t="s">
        <v>85</v>
      </c>
      <c r="C17" s="27">
        <v>65</v>
      </c>
      <c r="D17" s="27">
        <v>65</v>
      </c>
      <c r="E17" s="28" t="s">
        <v>82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"/>
      <c r="B18" s="18" t="s">
        <v>86</v>
      </c>
      <c r="C18" s="27">
        <v>18</v>
      </c>
      <c r="D18" s="27">
        <v>8</v>
      </c>
      <c r="E18" s="28" t="s">
        <v>87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"/>
      <c r="B19" s="18" t="s">
        <v>88</v>
      </c>
      <c r="C19" s="27">
        <v>300</v>
      </c>
      <c r="D19" s="27">
        <v>100</v>
      </c>
      <c r="E19" s="29" t="s">
        <v>89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"/>
      <c r="B20" s="18" t="s">
        <v>90</v>
      </c>
      <c r="C20" s="27">
        <v>70</v>
      </c>
      <c r="D20" s="27">
        <v>69</v>
      </c>
      <c r="E20" s="28" t="s">
        <v>82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3:G13"/>
    <mergeCell ref="B1:G1"/>
  </mergeCells>
  <phoneticPr fontId="37"/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>
      <selection activeCell="D4" sqref="D4"/>
    </sheetView>
  </sheetViews>
  <sheetFormatPr defaultColWidth="14.453125" defaultRowHeight="15" customHeight="1"/>
  <cols>
    <col min="1" max="1" width="3" customWidth="1"/>
    <col min="2" max="2" width="34.54296875" customWidth="1"/>
    <col min="3" max="3" width="21.54296875" customWidth="1"/>
    <col min="4" max="6" width="16" customWidth="1"/>
    <col min="7" max="7" width="56.453125" customWidth="1"/>
    <col min="8" max="8" width="51.54296875" customWidth="1"/>
  </cols>
  <sheetData>
    <row r="1" spans="1:26" ht="17.25" customHeight="1">
      <c r="A1" s="1"/>
      <c r="B1" s="239" t="s">
        <v>91</v>
      </c>
      <c r="C1" s="223"/>
      <c r="D1" s="223"/>
      <c r="E1" s="223"/>
      <c r="F1" s="223"/>
      <c r="G1" s="223"/>
      <c r="H1" s="22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1"/>
      <c r="B3" s="238" t="s">
        <v>92</v>
      </c>
      <c r="C3" s="223"/>
      <c r="D3" s="223"/>
      <c r="E3" s="223"/>
      <c r="F3" s="223"/>
      <c r="G3" s="223"/>
      <c r="H3" s="22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1"/>
      <c r="B4" s="21" t="s">
        <v>93</v>
      </c>
      <c r="C4" s="21" t="s">
        <v>94</v>
      </c>
      <c r="D4" s="21" t="s">
        <v>95</v>
      </c>
      <c r="E4" s="21" t="s">
        <v>96</v>
      </c>
      <c r="F4" s="21" t="s">
        <v>97</v>
      </c>
      <c r="G4" s="21" t="s">
        <v>62</v>
      </c>
      <c r="H4" s="21" t="s">
        <v>98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1"/>
      <c r="B5" s="18" t="s">
        <v>80</v>
      </c>
      <c r="C5" s="27">
        <v>500</v>
      </c>
      <c r="D5" s="27">
        <v>396</v>
      </c>
      <c r="E5" s="30">
        <v>0.01</v>
      </c>
      <c r="F5" s="30">
        <v>1E-3</v>
      </c>
      <c r="G5" s="31"/>
      <c r="H5" s="32" t="s">
        <v>99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"/>
      <c r="B6" s="18" t="s">
        <v>8</v>
      </c>
      <c r="C6" s="27">
        <v>300</v>
      </c>
      <c r="D6" s="27">
        <v>241</v>
      </c>
      <c r="E6" s="30">
        <v>0.01</v>
      </c>
      <c r="F6" s="30">
        <v>5.9999999999999995E-4</v>
      </c>
      <c r="G6" s="31"/>
      <c r="H6" s="32" t="s">
        <v>100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1"/>
      <c r="B8" s="238" t="s">
        <v>101</v>
      </c>
      <c r="C8" s="223"/>
      <c r="D8" s="223"/>
      <c r="E8" s="223"/>
      <c r="F8" s="223"/>
      <c r="G8" s="223"/>
      <c r="H8" s="22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1"/>
      <c r="B9" s="33" t="s">
        <v>102</v>
      </c>
      <c r="C9" s="34">
        <f>IFERROR(IF((YEAR(基本情報!D8))=0,"",(YEAR(基本情報!D8))),"")</f>
        <v>2018</v>
      </c>
      <c r="D9" s="35" t="s">
        <v>103</v>
      </c>
      <c r="E9" s="36"/>
      <c r="F9" s="36"/>
      <c r="G9" s="37"/>
      <c r="H9" s="3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1"/>
      <c r="B10" s="39" t="s">
        <v>104</v>
      </c>
      <c r="C10" s="40"/>
      <c r="D10" s="41" t="s">
        <v>105</v>
      </c>
      <c r="E10" s="42"/>
      <c r="F10" s="42"/>
      <c r="G10" s="43"/>
      <c r="H10" s="3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1"/>
      <c r="B11" s="44" t="s">
        <v>106</v>
      </c>
      <c r="C11" s="45"/>
      <c r="D11" s="46" t="s">
        <v>107</v>
      </c>
      <c r="E11" s="47"/>
      <c r="F11" s="47"/>
      <c r="G11" s="48"/>
      <c r="H11" s="4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33" t="s">
        <v>108</v>
      </c>
      <c r="C12" s="34">
        <f>IFERROR(IF((YEAR(基本情報!D9))=0,"",(YEAR(基本情報!D9))),"")</f>
        <v>2020</v>
      </c>
      <c r="D12" s="35" t="s">
        <v>109</v>
      </c>
      <c r="E12" s="36"/>
      <c r="F12" s="36"/>
      <c r="G12" s="36"/>
      <c r="H12" s="5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1"/>
      <c r="B13" s="51" t="s">
        <v>110</v>
      </c>
      <c r="C13" s="40"/>
      <c r="D13" s="41" t="s">
        <v>105</v>
      </c>
      <c r="E13" s="42"/>
      <c r="F13" s="42"/>
      <c r="G13" s="43"/>
      <c r="H13" s="5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1"/>
      <c r="B14" s="53" t="s">
        <v>111</v>
      </c>
      <c r="C14" s="45"/>
      <c r="D14" s="54" t="s">
        <v>112</v>
      </c>
      <c r="E14" s="55"/>
      <c r="F14" s="55"/>
      <c r="G14" s="55"/>
      <c r="H14" s="5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1"/>
      <c r="B15" s="33" t="s">
        <v>113</v>
      </c>
      <c r="C15" s="34">
        <f>IFERROR(IF((YEAR(基本情報!D10))=0,"",(YEAR(基本情報!D10))),"")</f>
        <v>2027</v>
      </c>
      <c r="D15" s="35" t="s">
        <v>114</v>
      </c>
      <c r="E15" s="36"/>
      <c r="F15" s="36"/>
      <c r="G15" s="37"/>
      <c r="H15" s="1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1"/>
      <c r="B16" s="39" t="s">
        <v>115</v>
      </c>
      <c r="C16" s="40"/>
      <c r="D16" s="41" t="s">
        <v>116</v>
      </c>
      <c r="E16" s="42"/>
      <c r="F16" s="42"/>
      <c r="G16" s="43"/>
      <c r="H16" s="3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1"/>
      <c r="B17" s="53" t="s">
        <v>117</v>
      </c>
      <c r="C17" s="45"/>
      <c r="D17" s="54" t="s">
        <v>118</v>
      </c>
      <c r="E17" s="55"/>
      <c r="F17" s="55"/>
      <c r="G17" s="57"/>
      <c r="H17" s="3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"/>
      <c r="B18" s="33" t="s">
        <v>119</v>
      </c>
      <c r="C18" s="34">
        <f>IF(基本情報!D11="","",YEAR(基本情報!D11))</f>
        <v>2029</v>
      </c>
      <c r="D18" s="35" t="s">
        <v>120</v>
      </c>
      <c r="E18" s="36"/>
      <c r="F18" s="36"/>
      <c r="G18" s="37"/>
      <c r="H18" s="3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1"/>
      <c r="B19" s="39" t="s">
        <v>121</v>
      </c>
      <c r="C19" s="40"/>
      <c r="D19" s="41" t="s">
        <v>122</v>
      </c>
      <c r="E19" s="42"/>
      <c r="F19" s="42"/>
      <c r="G19" s="43"/>
      <c r="H19" s="3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53" t="s">
        <v>123</v>
      </c>
      <c r="C20" s="45"/>
      <c r="D20" s="54" t="s">
        <v>124</v>
      </c>
      <c r="E20" s="55"/>
      <c r="F20" s="55"/>
      <c r="G20" s="57"/>
      <c r="H20" s="3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>
      <c r="A21" s="1"/>
      <c r="B21" s="33" t="s">
        <v>125</v>
      </c>
      <c r="C21" s="34">
        <f>IF(基本情報!D12="","",YEAR(基本情報!D12))</f>
        <v>2031</v>
      </c>
      <c r="D21" s="35" t="s">
        <v>126</v>
      </c>
      <c r="E21" s="36"/>
      <c r="F21" s="36"/>
      <c r="G21" s="37"/>
      <c r="H21" s="3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39" t="s">
        <v>127</v>
      </c>
      <c r="C22" s="40"/>
      <c r="D22" s="41" t="s">
        <v>128</v>
      </c>
      <c r="E22" s="42"/>
      <c r="F22" s="42"/>
      <c r="G22" s="43"/>
      <c r="H22" s="3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53" t="s">
        <v>129</v>
      </c>
      <c r="C23" s="58"/>
      <c r="D23" s="54" t="s">
        <v>130</v>
      </c>
      <c r="E23" s="55"/>
      <c r="F23" s="55"/>
      <c r="G23" s="57"/>
      <c r="H23" s="3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59" t="s">
        <v>131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60" t="s">
        <v>79</v>
      </c>
      <c r="C26" s="60" t="s">
        <v>132</v>
      </c>
      <c r="D26" s="60" t="s">
        <v>133</v>
      </c>
      <c r="E26" s="60" t="s">
        <v>134</v>
      </c>
      <c r="F26" s="60" t="s">
        <v>135</v>
      </c>
      <c r="G26" s="21" t="s">
        <v>62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61" t="s">
        <v>136</v>
      </c>
      <c r="C27" s="62">
        <v>18</v>
      </c>
      <c r="D27" s="63">
        <f>IFERROR(IF((YEAR(基本情報!D8))=0,"",(YEAR(基本情報!D8))),"")</f>
        <v>2018</v>
      </c>
      <c r="E27" s="63">
        <f>IFERROR(IF((YEAR(基本情報!D8)+15)=0,"",(YEAR(基本情報!D8)+15)),"")</f>
        <v>2033</v>
      </c>
      <c r="F27" s="64" t="s">
        <v>137</v>
      </c>
      <c r="G27" s="65" t="s">
        <v>138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66" t="s">
        <v>139</v>
      </c>
      <c r="C28" s="67">
        <v>18</v>
      </c>
      <c r="D28" s="68">
        <f>IFERROR(IF((YEAR(基本情報!D9))=0,"",(YEAR(基本情報!D9))),"")</f>
        <v>2020</v>
      </c>
      <c r="E28" s="68">
        <f>IFERROR(IF((YEAR(基本情報!D9)+15)=0,"",(YEAR(基本情報!D9)+15)),"")</f>
        <v>2035</v>
      </c>
      <c r="F28" s="69" t="s">
        <v>137</v>
      </c>
      <c r="G28" s="65" t="s">
        <v>140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>
      <c r="A29" s="1"/>
      <c r="B29" s="70" t="s">
        <v>141</v>
      </c>
      <c r="C29" s="71">
        <v>36</v>
      </c>
      <c r="D29" s="72">
        <f>IFERROR(IF((YEAR(基本情報!D10))=0,"",(YEAR(基本情報!D10))),"")</f>
        <v>2027</v>
      </c>
      <c r="E29" s="72">
        <f>IFERROR(IF((YEAR(基本情報!D10)+15)=0,"",(YEAR(基本情報!D10)+15)),"")</f>
        <v>2042</v>
      </c>
      <c r="F29" s="73" t="s">
        <v>137</v>
      </c>
      <c r="G29" s="65" t="s">
        <v>142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70" t="s">
        <v>143</v>
      </c>
      <c r="C30" s="71">
        <v>36</v>
      </c>
      <c r="D30" s="72">
        <f>IF(基本情報!D11="","",YEAR(基本情報!D11))</f>
        <v>2029</v>
      </c>
      <c r="E30" s="72">
        <f>IFERROR(IF((YEAR(基本情報!D11)+15)=0,"",(YEAR(基本情報!D11)+15)),"")</f>
        <v>2044</v>
      </c>
      <c r="F30" s="73" t="s">
        <v>137</v>
      </c>
      <c r="G30" s="65" t="s">
        <v>144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70" t="s">
        <v>145</v>
      </c>
      <c r="C31" s="71">
        <v>36</v>
      </c>
      <c r="D31" s="72">
        <f>IF(基本情報!D12="","",YEAR(基本情報!D12))</f>
        <v>2031</v>
      </c>
      <c r="E31" s="72">
        <f>IFERROR(IF((YEAR(基本情報!D12)+15)=0,"",(YEAR(基本情報!D12)+15)),"")</f>
        <v>2046</v>
      </c>
      <c r="F31" s="73" t="s">
        <v>137</v>
      </c>
      <c r="G31" s="65" t="s">
        <v>146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61" t="s">
        <v>147</v>
      </c>
      <c r="C32" s="62">
        <v>110</v>
      </c>
      <c r="D32" s="63">
        <f>IFERROR(IF((YEAR(基本情報!D8)+17)=0,"",(YEAR(基本情報!D8)+17)),"")</f>
        <v>2035</v>
      </c>
      <c r="E32" s="63">
        <f>IFERROR(IF((YEAR(基本情報!D8)+17)=0,"",(YEAR(基本情報!D8)+17)),"")</f>
        <v>2035</v>
      </c>
      <c r="F32" s="74" t="s">
        <v>148</v>
      </c>
      <c r="G32" s="65" t="s">
        <v>149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66" t="s">
        <v>150</v>
      </c>
      <c r="C33" s="62">
        <v>110</v>
      </c>
      <c r="D33" s="75">
        <f>IFERROR(IF((YEAR(基本情報!D9)+17)=0,"",(YEAR(基本情報!D9)+17)),"")</f>
        <v>2037</v>
      </c>
      <c r="E33" s="75">
        <f>IFERROR(IF((YEAR(基本情報!D9)+17)=0,"",(YEAR(基本情報!D9)+17)),"")</f>
        <v>2037</v>
      </c>
      <c r="F33" s="76" t="s">
        <v>148</v>
      </c>
      <c r="G33" s="65" t="s">
        <v>151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70" t="s">
        <v>152</v>
      </c>
      <c r="C34" s="62">
        <v>110</v>
      </c>
      <c r="D34" s="77">
        <f>IFERROR(IF((YEAR(基本情報!D10)+17)=0,"",(YEAR(基本情報!D10)+17)),"")</f>
        <v>2044</v>
      </c>
      <c r="E34" s="77">
        <f>IFERROR(IF((YEAR(基本情報!D10)+17)=0,"",(YEAR(基本情報!D10)+17)),"")</f>
        <v>2044</v>
      </c>
      <c r="F34" s="78" t="s">
        <v>148</v>
      </c>
      <c r="G34" s="65" t="s">
        <v>153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70" t="s">
        <v>154</v>
      </c>
      <c r="C35" s="62">
        <v>110</v>
      </c>
      <c r="D35" s="77">
        <f>IFERROR(IF((YEAR(基本情報!D11)+17)=0,"",(YEAR(基本情報!D11)+17)),"")</f>
        <v>2046</v>
      </c>
      <c r="E35" s="77">
        <f>IFERROR(IF((YEAR(基本情報!D11)+17)=0,"",(YEAR(基本情報!D11)+17)),"")</f>
        <v>2046</v>
      </c>
      <c r="F35" s="78" t="s">
        <v>148</v>
      </c>
      <c r="G35" s="65" t="s">
        <v>155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70" t="s">
        <v>156</v>
      </c>
      <c r="C36" s="62">
        <v>110</v>
      </c>
      <c r="D36" s="77">
        <f>IFERROR(IF((YEAR(基本情報!D12)+17)=0,"",(YEAR(基本情報!D12)+17)),"")</f>
        <v>2048</v>
      </c>
      <c r="E36" s="77">
        <f>IFERROR(IF((YEAR(基本情報!D12)+17)=0,"",(YEAR(基本情報!D12)+17)),"")</f>
        <v>2048</v>
      </c>
      <c r="F36" s="78" t="s">
        <v>148</v>
      </c>
      <c r="G36" s="65" t="s">
        <v>157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61" t="s">
        <v>158</v>
      </c>
      <c r="C37" s="62">
        <v>50</v>
      </c>
      <c r="D37" s="79">
        <f>IFERROR(IF((YEAR(基本情報!D8))=0,"",(YEAR(基本情報!D8))),"")</f>
        <v>2018</v>
      </c>
      <c r="E37" s="79">
        <f>IFERROR(IF((YEAR(基本情報!D8))=0,"",(YEAR(基本情報!D8))),"")</f>
        <v>2018</v>
      </c>
      <c r="F37" s="74" t="s">
        <v>148</v>
      </c>
      <c r="G37" s="65" t="s">
        <v>159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66" t="s">
        <v>160</v>
      </c>
      <c r="C38" s="67">
        <v>50</v>
      </c>
      <c r="D38" s="75">
        <f>IFERROR(IF((YEAR(基本情報!D9))=0,"",(YEAR(基本情報!D9))),"")</f>
        <v>2020</v>
      </c>
      <c r="E38" s="75">
        <f>IFERROR(IF((YEAR(基本情報!D9))=0,"",(YEAR(基本情報!D9))),"")</f>
        <v>2020</v>
      </c>
      <c r="F38" s="76" t="s">
        <v>148</v>
      </c>
      <c r="G38" s="65" t="s">
        <v>161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1"/>
      <c r="B39" s="80" t="s">
        <v>162</v>
      </c>
      <c r="C39" s="81">
        <v>50</v>
      </c>
      <c r="D39" s="82">
        <f>IFERROR(IF((YEAR(基本情報!D10))=0,"",(YEAR(基本情報!D10))),"")</f>
        <v>2027</v>
      </c>
      <c r="E39" s="82">
        <f>IFERROR(IF((YEAR(基本情報!D10))=0,"",(YEAR(基本情報!D10))),"")</f>
        <v>2027</v>
      </c>
      <c r="F39" s="83" t="s">
        <v>148</v>
      </c>
      <c r="G39" s="84" t="s">
        <v>163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80" t="s">
        <v>164</v>
      </c>
      <c r="C40" s="81">
        <v>50</v>
      </c>
      <c r="D40" s="82">
        <f>IFERROR(IF((YEAR(基本情報!D11))=0,"",(YEAR(基本情報!D11))),"")</f>
        <v>2029</v>
      </c>
      <c r="E40" s="82">
        <f>IFERROR(IF((YEAR(基本情報!D11))=0,"",(YEAR(基本情報!D11))),"")</f>
        <v>2029</v>
      </c>
      <c r="F40" s="83" t="s">
        <v>148</v>
      </c>
      <c r="G40" s="84" t="s">
        <v>165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80" t="s">
        <v>166</v>
      </c>
      <c r="C41" s="81">
        <v>50</v>
      </c>
      <c r="D41" s="82">
        <f>IFERROR(IF((YEAR(基本情報!D12))=0,"",(YEAR(基本情報!D12))),"")</f>
        <v>2031</v>
      </c>
      <c r="E41" s="82">
        <f>IFERROR(IF((YEAR(基本情報!D12))=0,"",(YEAR(基本情報!D12))),"")</f>
        <v>2031</v>
      </c>
      <c r="F41" s="83" t="s">
        <v>148</v>
      </c>
      <c r="G41" s="84" t="s">
        <v>167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85" t="s">
        <v>168</v>
      </c>
      <c r="C42" s="86">
        <v>500</v>
      </c>
      <c r="D42" s="87">
        <f>IFERROR(IF((基本情報!$C$3)=0,"",(基本情報!$C$3)),"")</f>
        <v>2022</v>
      </c>
      <c r="E42" s="87">
        <f>IFERROR(IF((基本情報!$C$3)=0,"",(基本情報!$C$3)),"")</f>
        <v>2022</v>
      </c>
      <c r="F42" s="88" t="s">
        <v>148</v>
      </c>
      <c r="G42" s="89" t="s">
        <v>169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90"/>
      <c r="C43" s="90"/>
      <c r="D43" s="90"/>
      <c r="E43" s="91"/>
      <c r="F43" s="90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7.25" customHeight="1">
      <c r="A44" s="1"/>
      <c r="B44" s="92"/>
      <c r="C44" s="92"/>
      <c r="D44" s="92"/>
      <c r="E44" s="93"/>
      <c r="F44" s="92"/>
      <c r="G44" s="94" t="s">
        <v>170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92"/>
      <c r="C45" s="92"/>
      <c r="D45" s="92"/>
      <c r="E45" s="93"/>
      <c r="F45" s="92"/>
      <c r="G45" s="95" t="s">
        <v>171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92"/>
      <c r="C46" s="92"/>
      <c r="D46" s="92"/>
      <c r="E46" s="93"/>
      <c r="F46" s="92"/>
      <c r="G46" s="95" t="s">
        <v>172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96"/>
      <c r="C47" s="97"/>
      <c r="D47" s="96"/>
      <c r="E47" s="98"/>
      <c r="F47" s="96"/>
      <c r="G47" s="95" t="s">
        <v>173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99" t="s">
        <v>174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7.25" customHeight="1">
      <c r="A49" s="1"/>
      <c r="B49" s="21" t="s">
        <v>175</v>
      </c>
      <c r="C49" s="21" t="s">
        <v>176</v>
      </c>
      <c r="D49" s="21" t="s">
        <v>177</v>
      </c>
      <c r="E49" s="21" t="s">
        <v>178</v>
      </c>
      <c r="F49" s="21" t="s">
        <v>62</v>
      </c>
      <c r="G49" s="94" t="s">
        <v>179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00" t="s">
        <v>180</v>
      </c>
      <c r="C50" s="100" t="s">
        <v>181</v>
      </c>
      <c r="D50" s="100">
        <v>455</v>
      </c>
      <c r="E50" s="101">
        <f t="shared" ref="E50:E57" si="0">D32/$D$39</f>
        <v>1.0039467192895906</v>
      </c>
      <c r="F50" s="100" t="s">
        <v>182</v>
      </c>
      <c r="G50" s="102" t="s">
        <v>183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00" t="s">
        <v>184</v>
      </c>
      <c r="C51" s="100" t="s">
        <v>185</v>
      </c>
      <c r="D51" s="100">
        <v>416</v>
      </c>
      <c r="E51" s="101">
        <f t="shared" si="0"/>
        <v>1.0049333991119882</v>
      </c>
      <c r="F51" s="100" t="s">
        <v>186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7.25" customHeight="1">
      <c r="A52" s="1"/>
      <c r="B52" s="100" t="s">
        <v>187</v>
      </c>
      <c r="C52" s="100" t="s">
        <v>188</v>
      </c>
      <c r="D52" s="100">
        <v>411</v>
      </c>
      <c r="E52" s="101">
        <f t="shared" si="0"/>
        <v>1.0083867784903799</v>
      </c>
      <c r="F52" s="100" t="s">
        <v>186</v>
      </c>
      <c r="G52" s="103" t="s">
        <v>189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00" t="s">
        <v>190</v>
      </c>
      <c r="C53" s="100" t="s">
        <v>191</v>
      </c>
      <c r="D53" s="100">
        <v>388</v>
      </c>
      <c r="E53" s="101">
        <f t="shared" si="0"/>
        <v>1.0093734583127776</v>
      </c>
      <c r="F53" s="100" t="s">
        <v>192</v>
      </c>
      <c r="G53" s="102" t="s">
        <v>193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00" t="s">
        <v>194</v>
      </c>
      <c r="C54" s="100" t="s">
        <v>195</v>
      </c>
      <c r="D54" s="100">
        <v>388</v>
      </c>
      <c r="E54" s="101">
        <f t="shared" si="0"/>
        <v>1.0103601381351752</v>
      </c>
      <c r="F54" s="100" t="s">
        <v>192</v>
      </c>
      <c r="G54" s="95" t="s">
        <v>196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00" t="s">
        <v>197</v>
      </c>
      <c r="C55" s="100" t="s">
        <v>198</v>
      </c>
      <c r="D55" s="100">
        <v>383</v>
      </c>
      <c r="E55" s="101">
        <f t="shared" si="0"/>
        <v>0.99555994079921062</v>
      </c>
      <c r="F55" s="100" t="s">
        <v>192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7.25" customHeight="1">
      <c r="A56" s="1"/>
      <c r="B56" s="104" t="s">
        <v>199</v>
      </c>
      <c r="C56" s="104" t="s">
        <v>200</v>
      </c>
      <c r="D56" s="104">
        <v>382</v>
      </c>
      <c r="E56" s="105">
        <f t="shared" si="0"/>
        <v>0.99654662062160826</v>
      </c>
      <c r="F56" s="104" t="s">
        <v>192</v>
      </c>
      <c r="G56" s="94" t="s">
        <v>201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06" t="s">
        <v>202</v>
      </c>
      <c r="C57" s="107" t="s">
        <v>203</v>
      </c>
      <c r="D57" s="108">
        <v>426</v>
      </c>
      <c r="E57" s="109">
        <f t="shared" si="0"/>
        <v>1</v>
      </c>
      <c r="F57" s="110" t="s">
        <v>204</v>
      </c>
      <c r="G57" s="102" t="s">
        <v>205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11" t="s">
        <v>206</v>
      </c>
      <c r="H58" s="11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13" t="s">
        <v>207</v>
      </c>
      <c r="C59" s="1"/>
      <c r="D59" s="1"/>
      <c r="E59" s="1"/>
      <c r="F59" s="1"/>
      <c r="G59" s="111" t="s">
        <v>208</v>
      </c>
      <c r="H59" s="11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13" t="s">
        <v>209</v>
      </c>
      <c r="C60" s="1"/>
      <c r="D60" s="1"/>
      <c r="E60" s="1"/>
      <c r="F60" s="1"/>
      <c r="G60" s="111" t="s">
        <v>210</v>
      </c>
      <c r="H60" s="11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15"/>
      <c r="H61" s="11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/>
    <row r="262" spans="1:26" ht="15.75" customHeight="1"/>
    <row r="263" spans="1:26" ht="15.75" customHeight="1"/>
    <row r="264" spans="1:26" ht="15.75" customHeight="1"/>
    <row r="265" spans="1:26" ht="15.75" customHeight="1"/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H1"/>
    <mergeCell ref="B3:H3"/>
    <mergeCell ref="B8:H8"/>
  </mergeCells>
  <phoneticPr fontId="37"/>
  <pageMargins left="0.7" right="0.7" top="0.75" bottom="0.75" header="0" footer="0"/>
  <pageSetup paperSize="9" scale="5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showGridLines="0" workbookViewId="0">
      <selection activeCell="D17" sqref="D17"/>
    </sheetView>
  </sheetViews>
  <sheetFormatPr defaultColWidth="14.453125" defaultRowHeight="15" customHeight="1"/>
  <cols>
    <col min="1" max="1" width="3" customWidth="1"/>
    <col min="2" max="2" width="49.7265625" customWidth="1"/>
    <col min="3" max="3" width="16.54296875" customWidth="1"/>
    <col min="4" max="4" width="11.7265625" customWidth="1"/>
    <col min="5" max="6" width="12.08984375" customWidth="1"/>
    <col min="7" max="7" width="60.453125" customWidth="1"/>
    <col min="8" max="8" width="28" customWidth="1"/>
  </cols>
  <sheetData>
    <row r="1" spans="1:26" ht="17.25" customHeight="1">
      <c r="A1" s="1"/>
      <c r="B1" s="239" t="s">
        <v>211</v>
      </c>
      <c r="C1" s="223"/>
      <c r="D1" s="223"/>
      <c r="E1" s="223"/>
      <c r="F1" s="223"/>
      <c r="G1" s="223"/>
      <c r="H1" s="22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1"/>
      <c r="B3" s="238" t="s">
        <v>212</v>
      </c>
      <c r="C3" s="223"/>
      <c r="D3" s="223"/>
      <c r="E3" s="223"/>
      <c r="F3" s="223"/>
      <c r="G3" s="223"/>
      <c r="H3" s="22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1"/>
      <c r="B4" s="21" t="s">
        <v>79</v>
      </c>
      <c r="C4" s="21" t="s">
        <v>213</v>
      </c>
      <c r="D4" s="21" t="s">
        <v>214</v>
      </c>
      <c r="E4" s="21" t="s">
        <v>215</v>
      </c>
      <c r="F4" s="21" t="s">
        <v>134</v>
      </c>
      <c r="G4" s="21" t="s">
        <v>62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1"/>
      <c r="B5" s="18" t="s">
        <v>216</v>
      </c>
      <c r="C5" s="116">
        <v>300</v>
      </c>
      <c r="D5" s="30">
        <v>0.01</v>
      </c>
      <c r="E5" s="19">
        <f>基準年</f>
        <v>2022</v>
      </c>
      <c r="F5" s="19">
        <f>基本情報!$C$3+(基本情報!$C$17-基本情報!$E$6)-1</f>
        <v>2051</v>
      </c>
      <c r="G5" s="117" t="s">
        <v>217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"/>
      <c r="B6" s="18" t="s">
        <v>218</v>
      </c>
      <c r="C6" s="27">
        <v>264</v>
      </c>
      <c r="D6" s="30">
        <v>-5.0000000000000001E-3</v>
      </c>
      <c r="E6" s="19">
        <f>基本情報!$C$3+(基本情報!$C$17-基本情報!$E$6)</f>
        <v>2052</v>
      </c>
      <c r="F6" s="19">
        <f>基本情報!$C$3+(基本情報!$C$17-基本情報!$E$6)+35</f>
        <v>2087</v>
      </c>
      <c r="G6" s="117" t="s">
        <v>219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1"/>
      <c r="B7" s="18" t="s">
        <v>220</v>
      </c>
      <c r="C7" s="116">
        <v>156</v>
      </c>
      <c r="D7" s="30">
        <v>0</v>
      </c>
      <c r="E7" s="19">
        <f>基準年</f>
        <v>2022</v>
      </c>
      <c r="F7" s="19">
        <v>2022</v>
      </c>
      <c r="G7" s="117" t="s">
        <v>221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1"/>
      <c r="B8" s="18" t="s">
        <v>222</v>
      </c>
      <c r="C8" s="116">
        <v>60</v>
      </c>
      <c r="D8" s="30">
        <v>0</v>
      </c>
      <c r="E8" s="19">
        <f>基準年</f>
        <v>2022</v>
      </c>
      <c r="F8" s="19">
        <f>基本情報!$C$3+(基本情報!$C$17-基本情報!$E$6)-1</f>
        <v>2051</v>
      </c>
      <c r="G8" s="117" t="s">
        <v>223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1"/>
      <c r="B9" s="18" t="s">
        <v>224</v>
      </c>
      <c r="C9" s="116">
        <v>36</v>
      </c>
      <c r="D9" s="30">
        <v>0</v>
      </c>
      <c r="E9" s="19">
        <f>基準年</f>
        <v>2022</v>
      </c>
      <c r="F9" s="19">
        <f>基本情報!$C$3+(基本情報!$C$17-基本情報!$E$6)-1</f>
        <v>2051</v>
      </c>
      <c r="G9" s="117" t="s">
        <v>225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1"/>
      <c r="B10" s="18" t="s">
        <v>226</v>
      </c>
      <c r="C10" s="116">
        <v>24</v>
      </c>
      <c r="D10" s="30">
        <v>0</v>
      </c>
      <c r="E10" s="19">
        <v>2018</v>
      </c>
      <c r="F10" s="19">
        <f>基本情報!$C$3+(基本情報!$C$17-基本情報!$E$6)-1</f>
        <v>2051</v>
      </c>
      <c r="G10" s="118" t="s">
        <v>227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1"/>
      <c r="B11" s="18" t="s">
        <v>228</v>
      </c>
      <c r="C11" s="116">
        <v>6.24</v>
      </c>
      <c r="D11" s="30">
        <v>0</v>
      </c>
      <c r="E11" s="19">
        <f>IFERROR(YEAR(基本情報!D8),"")</f>
        <v>2018</v>
      </c>
      <c r="F11" s="19">
        <f>IFERROR(YEAR(基本情報!D8)+17,"")</f>
        <v>2035</v>
      </c>
      <c r="G11" s="118" t="s">
        <v>229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"/>
      <c r="B12" s="18" t="s">
        <v>230</v>
      </c>
      <c r="C12" s="116">
        <v>6.24</v>
      </c>
      <c r="D12" s="30">
        <v>0</v>
      </c>
      <c r="E12" s="19">
        <f>IFERROR(YEAR(基本情報!D9),"")</f>
        <v>2020</v>
      </c>
      <c r="F12" s="19">
        <f>IFERROR(YEAR(基本情報!D9)+17,"")</f>
        <v>2037</v>
      </c>
      <c r="G12" s="118" t="s">
        <v>231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1"/>
      <c r="B13" s="18" t="s">
        <v>232</v>
      </c>
      <c r="C13" s="116">
        <v>6.24</v>
      </c>
      <c r="D13" s="30">
        <v>0</v>
      </c>
      <c r="E13" s="19">
        <f>IFERROR(YEAR(基本情報!D10),"")</f>
        <v>2027</v>
      </c>
      <c r="F13" s="19">
        <f>IFERROR(YEAR(基本情報!D10)+17,"")</f>
        <v>2044</v>
      </c>
      <c r="G13" s="118" t="s">
        <v>233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1"/>
      <c r="B14" s="18" t="s">
        <v>234</v>
      </c>
      <c r="C14" s="116">
        <v>6.24</v>
      </c>
      <c r="D14" s="30">
        <v>0</v>
      </c>
      <c r="E14" s="19">
        <f>IFERROR(YEAR(基本情報!D11),"")</f>
        <v>2029</v>
      </c>
      <c r="F14" s="19">
        <f>IFERROR(YEAR(基本情報!D11)+17,"")</f>
        <v>2046</v>
      </c>
      <c r="G14" s="118" t="s">
        <v>235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8" t="s">
        <v>236</v>
      </c>
      <c r="C15" s="116">
        <v>6.24</v>
      </c>
      <c r="D15" s="30">
        <v>0</v>
      </c>
      <c r="E15" s="19">
        <f>IFERROR(YEAR(基本情報!D12),"")</f>
        <v>2031</v>
      </c>
      <c r="F15" s="19">
        <f>IFERROR(YEAR(基本情報!D12)+17,"")</f>
        <v>2048</v>
      </c>
      <c r="G15" s="118" t="s">
        <v>237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8" t="s">
        <v>238</v>
      </c>
      <c r="C16" s="116">
        <v>7</v>
      </c>
      <c r="D16" s="30">
        <v>0</v>
      </c>
      <c r="E16" s="19">
        <v>2022</v>
      </c>
      <c r="F16" s="19">
        <v>2080</v>
      </c>
      <c r="G16" s="117" t="s">
        <v>239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1"/>
      <c r="B17" s="18" t="s">
        <v>240</v>
      </c>
      <c r="C17" s="116">
        <v>12</v>
      </c>
      <c r="D17" s="30">
        <v>0</v>
      </c>
      <c r="E17" s="19">
        <v>2022</v>
      </c>
      <c r="F17" s="19">
        <v>2080</v>
      </c>
      <c r="G17" s="1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"/>
      <c r="B18" s="18" t="s">
        <v>241</v>
      </c>
      <c r="C18" s="116">
        <v>24</v>
      </c>
      <c r="D18" s="30">
        <v>0</v>
      </c>
      <c r="E18" s="19">
        <v>2022</v>
      </c>
      <c r="F18" s="19">
        <v>2080</v>
      </c>
      <c r="G18" s="11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"/>
      <c r="B19" s="18" t="s">
        <v>242</v>
      </c>
      <c r="C19" s="116">
        <v>12</v>
      </c>
      <c r="D19" s="30">
        <v>0</v>
      </c>
      <c r="E19" s="19">
        <v>2022</v>
      </c>
      <c r="F19" s="19">
        <v>2080</v>
      </c>
      <c r="G19" s="11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"/>
      <c r="B20" s="238"/>
      <c r="C20" s="223"/>
      <c r="D20" s="223"/>
      <c r="E20" s="223"/>
      <c r="F20" s="223"/>
      <c r="G20" s="223"/>
      <c r="H20" s="2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"/>
      <c r="B21" s="59"/>
      <c r="C21" s="21"/>
      <c r="D21" s="21"/>
      <c r="E21" s="2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"/>
      <c r="B22" s="59" t="s">
        <v>243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1"/>
      <c r="B23" s="21" t="s">
        <v>244</v>
      </c>
      <c r="C23" s="21" t="s">
        <v>245</v>
      </c>
      <c r="D23" s="21" t="s">
        <v>246</v>
      </c>
      <c r="E23" s="21" t="s">
        <v>62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1"/>
      <c r="B24" s="18" t="s">
        <v>247</v>
      </c>
      <c r="C24" s="119" t="s">
        <v>248</v>
      </c>
      <c r="D24" s="27">
        <v>34</v>
      </c>
      <c r="E24" s="117" t="s">
        <v>249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>
      <c r="A25" s="1"/>
      <c r="B25" s="18" t="s">
        <v>250</v>
      </c>
      <c r="C25" s="119" t="s">
        <v>251</v>
      </c>
      <c r="D25" s="27">
        <v>32</v>
      </c>
      <c r="E25" s="117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1"/>
      <c r="B26" s="18" t="s">
        <v>252</v>
      </c>
      <c r="C26" s="119" t="s">
        <v>253</v>
      </c>
      <c r="D26" s="27">
        <v>49</v>
      </c>
      <c r="E26" s="117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>
      <c r="A27" s="1"/>
      <c r="B27" s="18" t="s">
        <v>254</v>
      </c>
      <c r="C27" s="119" t="s">
        <v>255</v>
      </c>
      <c r="D27" s="27">
        <v>97</v>
      </c>
      <c r="E27" s="117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18" t="s">
        <v>256</v>
      </c>
      <c r="C28" s="119" t="s">
        <v>257</v>
      </c>
      <c r="D28" s="27">
        <v>134</v>
      </c>
      <c r="E28" s="117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/>
      <c r="B29" s="18" t="s">
        <v>258</v>
      </c>
      <c r="C29" s="119" t="s">
        <v>259</v>
      </c>
      <c r="D29" s="27">
        <v>109</v>
      </c>
      <c r="E29" s="117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"/>
      <c r="B30" s="18"/>
      <c r="C30" s="119"/>
      <c r="D30" s="6"/>
      <c r="E30" s="6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240" t="s">
        <v>260</v>
      </c>
      <c r="C31" s="241"/>
      <c r="D31" s="241"/>
      <c r="E31" s="241"/>
      <c r="F31" s="241"/>
      <c r="G31" s="241"/>
      <c r="H31" s="24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1"/>
      <c r="B32" s="59"/>
      <c r="C32" s="21"/>
      <c r="D32" s="21"/>
      <c r="E32" s="21"/>
      <c r="F32" s="21"/>
      <c r="G32" s="2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1"/>
      <c r="B33" s="59" t="s">
        <v>261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>
      <c r="A34" s="1"/>
      <c r="B34" s="21" t="s">
        <v>79</v>
      </c>
      <c r="C34" s="21" t="s">
        <v>132</v>
      </c>
      <c r="D34" s="21" t="s">
        <v>262</v>
      </c>
      <c r="E34" s="21" t="s">
        <v>263</v>
      </c>
      <c r="F34" s="21" t="s">
        <v>264</v>
      </c>
      <c r="G34" s="21" t="s">
        <v>62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1"/>
      <c r="B35" s="18" t="s">
        <v>265</v>
      </c>
      <c r="C35" s="27">
        <v>200</v>
      </c>
      <c r="D35" s="19">
        <v>2024</v>
      </c>
      <c r="E35" s="19">
        <v>7</v>
      </c>
      <c r="F35" s="19">
        <v>2080</v>
      </c>
      <c r="G35" s="120" t="s">
        <v>266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1"/>
      <c r="B36" s="18" t="s">
        <v>267</v>
      </c>
      <c r="C36" s="27">
        <v>70</v>
      </c>
      <c r="D36" s="19">
        <v>2026</v>
      </c>
      <c r="E36" s="19">
        <v>5</v>
      </c>
      <c r="F36" s="19">
        <v>2046</v>
      </c>
      <c r="G36" s="120" t="s">
        <v>268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"/>
      <c r="B37" s="18" t="s">
        <v>269</v>
      </c>
      <c r="C37" s="27">
        <v>200</v>
      </c>
      <c r="D37" s="19">
        <v>2050</v>
      </c>
      <c r="E37" s="19">
        <v>99</v>
      </c>
      <c r="F37" s="19">
        <v>2050</v>
      </c>
      <c r="G37" s="121" t="s">
        <v>270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1"/>
      <c r="B38" s="240" t="s">
        <v>271</v>
      </c>
      <c r="C38" s="241"/>
      <c r="D38" s="241"/>
      <c r="E38" s="241"/>
      <c r="F38" s="241"/>
      <c r="G38" s="241"/>
      <c r="H38" s="24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"/>
      <c r="B39" s="122"/>
      <c r="C39" s="21"/>
      <c r="D39" s="2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1"/>
      <c r="B40" s="122" t="s">
        <v>272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21" t="s">
        <v>79</v>
      </c>
      <c r="C41" s="21" t="s">
        <v>273</v>
      </c>
      <c r="D41" s="21" t="s">
        <v>62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1.5" customHeight="1">
      <c r="A42" s="1"/>
      <c r="B42" s="18" t="s">
        <v>274</v>
      </c>
      <c r="C42" s="116">
        <v>264</v>
      </c>
      <c r="D42" s="123" t="s">
        <v>275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1.5" customHeight="1">
      <c r="A43" s="1"/>
      <c r="B43" s="18" t="s">
        <v>276</v>
      </c>
      <c r="C43" s="116">
        <v>60</v>
      </c>
      <c r="D43" s="12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1.5" customHeight="1">
      <c r="A44" s="1"/>
      <c r="B44" s="18" t="s">
        <v>277</v>
      </c>
      <c r="C44" s="116">
        <v>7</v>
      </c>
      <c r="D44" s="12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1.5" customHeight="1">
      <c r="A45" s="1"/>
      <c r="B45" s="18" t="s">
        <v>278</v>
      </c>
      <c r="C45" s="116">
        <v>36</v>
      </c>
      <c r="D45" s="124" t="s">
        <v>279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H1"/>
    <mergeCell ref="B38:H38"/>
    <mergeCell ref="B3:H3"/>
    <mergeCell ref="B20:H20"/>
    <mergeCell ref="B31:H31"/>
  </mergeCells>
  <phoneticPr fontId="37"/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showGridLines="0" workbookViewId="0">
      <selection activeCell="J8" sqref="J8"/>
    </sheetView>
  </sheetViews>
  <sheetFormatPr defaultColWidth="14.453125" defaultRowHeight="15" customHeight="1"/>
  <cols>
    <col min="1" max="1" width="3" customWidth="1"/>
    <col min="2" max="2" width="20" customWidth="1"/>
    <col min="3" max="5" width="16" customWidth="1"/>
    <col min="6" max="6" width="21.453125" customWidth="1"/>
    <col min="7" max="8" width="16" customWidth="1"/>
  </cols>
  <sheetData>
    <row r="1" spans="1:26" ht="17.25" customHeight="1">
      <c r="A1" s="1"/>
      <c r="B1" s="239" t="s">
        <v>280</v>
      </c>
      <c r="C1" s="223"/>
      <c r="D1" s="223"/>
      <c r="E1" s="223"/>
      <c r="F1" s="223"/>
      <c r="G1" s="223"/>
      <c r="H1" s="22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1"/>
      <c r="B3" s="238" t="s">
        <v>281</v>
      </c>
      <c r="C3" s="223"/>
      <c r="D3" s="223"/>
      <c r="E3" s="223"/>
      <c r="F3" s="223"/>
      <c r="G3" s="223"/>
      <c r="H3" s="22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1"/>
      <c r="B4" s="21" t="s">
        <v>79</v>
      </c>
      <c r="C4" s="21" t="s">
        <v>282</v>
      </c>
      <c r="D4" s="21" t="s">
        <v>283</v>
      </c>
      <c r="E4" s="21" t="s">
        <v>284</v>
      </c>
      <c r="F4" s="21" t="s">
        <v>62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1"/>
      <c r="B5" s="18" t="s">
        <v>285</v>
      </c>
      <c r="C5" s="23" t="s">
        <v>286</v>
      </c>
      <c r="D5" s="23" t="s">
        <v>287</v>
      </c>
      <c r="E5" s="125"/>
      <c r="F5" s="126" t="s">
        <v>288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"/>
      <c r="B6" s="18" t="s">
        <v>289</v>
      </c>
      <c r="C6" s="27">
        <v>1000</v>
      </c>
      <c r="D6" s="27">
        <v>2900</v>
      </c>
      <c r="E6" s="127">
        <f>C6+D6</f>
        <v>3900</v>
      </c>
      <c r="F6" s="126" t="s">
        <v>290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1"/>
      <c r="B7" s="18" t="s">
        <v>291</v>
      </c>
      <c r="C7" s="128">
        <v>1.1299999999999999E-2</v>
      </c>
      <c r="D7" s="128">
        <v>1.29E-2</v>
      </c>
      <c r="E7" s="125"/>
      <c r="F7" s="129" t="s">
        <v>292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1"/>
      <c r="B8" s="18" t="s">
        <v>293</v>
      </c>
      <c r="C8" s="19">
        <v>25</v>
      </c>
      <c r="D8" s="19">
        <v>25</v>
      </c>
      <c r="E8" s="125"/>
      <c r="F8" s="129" t="s">
        <v>294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1"/>
      <c r="B9" s="18" t="s">
        <v>215</v>
      </c>
      <c r="C9" s="19">
        <v>2022</v>
      </c>
      <c r="D9" s="19">
        <v>2022</v>
      </c>
      <c r="E9" s="125"/>
      <c r="F9" s="12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1"/>
      <c r="B10" s="18" t="s">
        <v>295</v>
      </c>
      <c r="C10" s="127">
        <f>IF(C6=0,0,ROUND(C6*10000*((C7/12)*(1+C7/12)^(C8*12))/((1+C7/12)^(C8*12)-1),0))</f>
        <v>38279</v>
      </c>
      <c r="D10" s="127">
        <f>IF(D6=0,0,ROUND(D6*10000*((D7/12)*(1+D7/12)^(D8*12))/((1+D7/12)^(D8*12)-1),0))</f>
        <v>113142</v>
      </c>
      <c r="E10" s="127">
        <f>C10+D10</f>
        <v>151421</v>
      </c>
      <c r="F10" s="126" t="s">
        <v>296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1"/>
      <c r="B11" s="18" t="s">
        <v>297</v>
      </c>
      <c r="C11" s="130">
        <f>C10*C8*12/10000</f>
        <v>1148.3699999999999</v>
      </c>
      <c r="D11" s="130">
        <f>D10*D8*12/10000</f>
        <v>3394.26</v>
      </c>
      <c r="E11" s="130">
        <f>C11+D11</f>
        <v>4542.63</v>
      </c>
      <c r="F11" s="126" t="s">
        <v>296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"/>
      <c r="B12" s="18" t="s">
        <v>298</v>
      </c>
      <c r="C12" s="130">
        <f>C10*12/10000</f>
        <v>45.934800000000003</v>
      </c>
      <c r="D12" s="130">
        <f>D10*12/10000</f>
        <v>135.7704</v>
      </c>
      <c r="E12" s="130">
        <f>C12+D12</f>
        <v>181.70519999999999</v>
      </c>
      <c r="F12" s="126" t="s">
        <v>296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1"/>
      <c r="B15" s="238" t="s">
        <v>299</v>
      </c>
      <c r="C15" s="223"/>
      <c r="D15" s="223"/>
      <c r="E15" s="223"/>
      <c r="F15" s="223"/>
      <c r="G15" s="223"/>
      <c r="H15" s="2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1"/>
      <c r="B16" s="21" t="s">
        <v>5</v>
      </c>
      <c r="C16" s="21" t="s">
        <v>6</v>
      </c>
      <c r="D16" s="21" t="s">
        <v>300</v>
      </c>
      <c r="E16" s="21" t="s">
        <v>301</v>
      </c>
      <c r="F16" s="21" t="s">
        <v>302</v>
      </c>
      <c r="G16" s="21" t="s">
        <v>303</v>
      </c>
      <c r="H16" s="21" t="s">
        <v>304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1"/>
      <c r="B17" s="131">
        <v>1</v>
      </c>
      <c r="C17" s="25">
        <f t="shared" ref="C17:C46" si="0">$C$9+B17-1</f>
        <v>2022</v>
      </c>
      <c r="D17" s="127">
        <f t="shared" ref="D17:D46" si="1">IF(B17&gt;$C$8,0,MAX(0,$C$6*10000*(1+$C$7/12)^(B17*12)-C$10*((1+$C$7/12)^(B17*12)-1)/($C$7/12))/10000)</f>
        <v>965.18525635155788</v>
      </c>
      <c r="E17" s="127">
        <f t="shared" ref="E17:E46" si="2">IF(B17&gt;$D$8,0,MAX(0,$D$6*10000*(1+$D$7/12)^(B17*12)-D$10*((1+$D$7/12)^(B17*12)-1)/($D$7/12))/10000)</f>
        <v>2801.0559551773599</v>
      </c>
      <c r="F17" s="130">
        <f t="shared" ref="F17:F46" si="3">IF(B17&gt;MAX($C$8,$D$8),0,($C$6-D17)+($D$6-E17))</f>
        <v>133.7587884710822</v>
      </c>
      <c r="G17" s="130">
        <f t="shared" ref="G17:G46" si="4">H17-F17</f>
        <v>47.946411528917793</v>
      </c>
      <c r="H17" s="130">
        <f t="shared" ref="H17:H46" si="5">IF(B17&lt;=$C$8,C$10*12/10000,0)+IF(B17&lt;=$D$8,D$10*12/10000,0)</f>
        <v>181.70519999999999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"/>
      <c r="B18" s="131">
        <v>2</v>
      </c>
      <c r="C18" s="25">
        <f t="shared" si="0"/>
        <v>2023</v>
      </c>
      <c r="D18" s="127">
        <f t="shared" si="1"/>
        <v>929.97506217240789</v>
      </c>
      <c r="E18" s="127">
        <f t="shared" si="2"/>
        <v>2700.8279584830752</v>
      </c>
      <c r="F18" s="130">
        <f t="shared" si="3"/>
        <v>269.19697934451688</v>
      </c>
      <c r="G18" s="130">
        <f t="shared" si="4"/>
        <v>-87.491779344516885</v>
      </c>
      <c r="H18" s="130">
        <f t="shared" si="5"/>
        <v>181.70519999999999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"/>
      <c r="B19" s="131">
        <v>3</v>
      </c>
      <c r="C19" s="25">
        <f t="shared" si="0"/>
        <v>2024</v>
      </c>
      <c r="D19" s="127">
        <f t="shared" si="1"/>
        <v>894.36492565517597</v>
      </c>
      <c r="E19" s="127">
        <f t="shared" si="2"/>
        <v>2599.2993486576261</v>
      </c>
      <c r="F19" s="130">
        <f t="shared" si="3"/>
        <v>406.33572568719796</v>
      </c>
      <c r="G19" s="130">
        <f t="shared" si="4"/>
        <v>-224.63052568719797</v>
      </c>
      <c r="H19" s="130">
        <f t="shared" si="5"/>
        <v>181.70519999999999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"/>
      <c r="B20" s="131">
        <v>4</v>
      </c>
      <c r="C20" s="25">
        <f t="shared" si="0"/>
        <v>2025</v>
      </c>
      <c r="D20" s="127">
        <f t="shared" si="1"/>
        <v>858.35030397135722</v>
      </c>
      <c r="E20" s="127">
        <f t="shared" si="2"/>
        <v>2496.4532482359073</v>
      </c>
      <c r="F20" s="130">
        <f t="shared" si="3"/>
        <v>545.19644779273551</v>
      </c>
      <c r="G20" s="130">
        <f t="shared" si="4"/>
        <v>-363.49124779273552</v>
      </c>
      <c r="H20" s="130">
        <f t="shared" si="5"/>
        <v>181.70519999999999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"/>
      <c r="B21" s="131">
        <v>5</v>
      </c>
      <c r="C21" s="25">
        <f t="shared" si="0"/>
        <v>2026</v>
      </c>
      <c r="D21" s="127">
        <f t="shared" si="1"/>
        <v>821.92660269178054</v>
      </c>
      <c r="E21" s="127">
        <f t="shared" si="2"/>
        <v>2392.2725607416232</v>
      </c>
      <c r="F21" s="130">
        <f t="shared" si="3"/>
        <v>685.80083656659622</v>
      </c>
      <c r="G21" s="130">
        <f t="shared" si="4"/>
        <v>-504.09563656659623</v>
      </c>
      <c r="H21" s="130">
        <f t="shared" si="5"/>
        <v>181.70519999999999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"/>
      <c r="B22" s="131">
        <v>6</v>
      </c>
      <c r="C22" s="25">
        <f t="shared" si="0"/>
        <v>2027</v>
      </c>
      <c r="D22" s="127">
        <f t="shared" si="1"/>
        <v>785.08917520049238</v>
      </c>
      <c r="E22" s="127">
        <f t="shared" si="2"/>
        <v>2286.7399678452762</v>
      </c>
      <c r="F22" s="130">
        <f t="shared" si="3"/>
        <v>828.17085695423145</v>
      </c>
      <c r="G22" s="130">
        <f t="shared" si="4"/>
        <v>-646.46565695423146</v>
      </c>
      <c r="H22" s="130">
        <f t="shared" si="5"/>
        <v>181.70519999999999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1"/>
      <c r="B23" s="131">
        <v>7</v>
      </c>
      <c r="C23" s="25">
        <f t="shared" si="0"/>
        <v>2028</v>
      </c>
      <c r="D23" s="127">
        <f t="shared" si="1"/>
        <v>747.83332210198353</v>
      </c>
      <c r="E23" s="127">
        <f t="shared" si="2"/>
        <v>2179.8379264852888</v>
      </c>
      <c r="F23" s="130">
        <f t="shared" si="3"/>
        <v>972.32875141272768</v>
      </c>
      <c r="G23" s="130">
        <f t="shared" si="4"/>
        <v>-790.62355141272769</v>
      </c>
      <c r="H23" s="130">
        <f t="shared" si="5"/>
        <v>181.70519999999999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1"/>
      <c r="B24" s="131">
        <v>8</v>
      </c>
      <c r="C24" s="25">
        <f t="shared" si="0"/>
        <v>2029</v>
      </c>
      <c r="D24" s="127">
        <f t="shared" si="1"/>
        <v>710.15429062167891</v>
      </c>
      <c r="E24" s="127">
        <f t="shared" si="2"/>
        <v>2071.5486659517505</v>
      </c>
      <c r="F24" s="130">
        <f t="shared" si="3"/>
        <v>1118.2970434265706</v>
      </c>
      <c r="G24" s="130">
        <f t="shared" si="4"/>
        <v>-936.59184342657056</v>
      </c>
      <c r="H24" s="130">
        <f t="shared" si="5"/>
        <v>181.70519999999999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1"/>
      <c r="B25" s="131">
        <v>9</v>
      </c>
      <c r="C25" s="25">
        <f t="shared" si="0"/>
        <v>2030</v>
      </c>
      <c r="D25" s="127">
        <f t="shared" si="1"/>
        <v>672.04727399962178</v>
      </c>
      <c r="E25" s="127">
        <f t="shared" si="2"/>
        <v>1961.8541849323287</v>
      </c>
      <c r="F25" s="130">
        <f t="shared" si="3"/>
        <v>1266.0985410680496</v>
      </c>
      <c r="G25" s="130">
        <f t="shared" si="4"/>
        <v>-1084.3933410680497</v>
      </c>
      <c r="H25" s="130">
        <f t="shared" si="5"/>
        <v>181.70519999999999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1"/>
      <c r="B26" s="131">
        <v>10</v>
      </c>
      <c r="C26" s="25">
        <f t="shared" si="0"/>
        <v>2031</v>
      </c>
      <c r="D26" s="127">
        <f t="shared" si="1"/>
        <v>633.50741087726954</v>
      </c>
      <c r="E26" s="127">
        <f t="shared" si="2"/>
        <v>1850.7362485198482</v>
      </c>
      <c r="F26" s="130">
        <f t="shared" si="3"/>
        <v>1415.7563406028821</v>
      </c>
      <c r="G26" s="130">
        <f t="shared" si="4"/>
        <v>-1234.0511406028822</v>
      </c>
      <c r="H26" s="130">
        <f t="shared" si="5"/>
        <v>181.70519999999999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1"/>
      <c r="B27" s="131">
        <v>11</v>
      </c>
      <c r="C27" s="25">
        <f t="shared" si="0"/>
        <v>2032</v>
      </c>
      <c r="D27" s="127">
        <f t="shared" si="1"/>
        <v>594.5297846773243</v>
      </c>
      <c r="E27" s="127">
        <f t="shared" si="2"/>
        <v>1738.1763851810329</v>
      </c>
      <c r="F27" s="130">
        <f t="shared" si="3"/>
        <v>1567.293830141643</v>
      </c>
      <c r="G27" s="130">
        <f t="shared" si="4"/>
        <v>-1385.5886301416431</v>
      </c>
      <c r="H27" s="130">
        <f t="shared" si="5"/>
        <v>181.70519999999999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131">
        <v>12</v>
      </c>
      <c r="C28" s="25">
        <f t="shared" si="0"/>
        <v>2033</v>
      </c>
      <c r="D28" s="127">
        <f t="shared" si="1"/>
        <v>555.10942297651968</v>
      </c>
      <c r="E28" s="127">
        <f t="shared" si="2"/>
        <v>1624.1558836859263</v>
      </c>
      <c r="F28" s="130">
        <f t="shared" si="3"/>
        <v>1720.7346933375541</v>
      </c>
      <c r="G28" s="130">
        <f t="shared" si="4"/>
        <v>-1539.029493337554</v>
      </c>
      <c r="H28" s="130">
        <f t="shared" si="5"/>
        <v>181.70519999999999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/>
      <c r="B29" s="131">
        <v>13</v>
      </c>
      <c r="C29" s="25">
        <f t="shared" si="0"/>
        <v>2034</v>
      </c>
      <c r="D29" s="127">
        <f t="shared" si="1"/>
        <v>515.24129687128072</v>
      </c>
      <c r="E29" s="127">
        <f t="shared" si="2"/>
        <v>1508.6557899974487</v>
      </c>
      <c r="F29" s="130">
        <f t="shared" si="3"/>
        <v>1876.1029131312707</v>
      </c>
      <c r="G29" s="130">
        <f t="shared" si="4"/>
        <v>-1694.3977131312708</v>
      </c>
      <c r="H29" s="130">
        <f t="shared" si="5"/>
        <v>181.70519999999999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"/>
      <c r="B30" s="131">
        <v>14</v>
      </c>
      <c r="C30" s="25">
        <f t="shared" si="0"/>
        <v>2035</v>
      </c>
      <c r="D30" s="127">
        <f t="shared" si="1"/>
        <v>474.92032033618159</v>
      </c>
      <c r="E30" s="127">
        <f t="shared" si="2"/>
        <v>1391.6569041205928</v>
      </c>
      <c r="F30" s="130">
        <f t="shared" si="3"/>
        <v>2033.4227755432257</v>
      </c>
      <c r="G30" s="130">
        <f t="shared" si="4"/>
        <v>-1851.7175755432258</v>
      </c>
      <c r="H30" s="130">
        <f t="shared" si="5"/>
        <v>181.70519999999999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131">
        <v>15</v>
      </c>
      <c r="C31" s="25">
        <f t="shared" si="0"/>
        <v>2036</v>
      </c>
      <c r="D31" s="127">
        <f t="shared" si="1"/>
        <v>434.14134957511641</v>
      </c>
      <c r="E31" s="127">
        <f t="shared" si="2"/>
        <v>1273.1397769107573</v>
      </c>
      <c r="F31" s="130">
        <f t="shared" si="3"/>
        <v>2192.7188735141262</v>
      </c>
      <c r="G31" s="130">
        <f t="shared" si="4"/>
        <v>-2011.0136735141264</v>
      </c>
      <c r="H31" s="130">
        <f t="shared" si="5"/>
        <v>181.70519999999999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1"/>
      <c r="B32" s="131">
        <v>16</v>
      </c>
      <c r="C32" s="25">
        <f t="shared" si="0"/>
        <v>2037</v>
      </c>
      <c r="D32" s="127">
        <f t="shared" si="1"/>
        <v>392.89918236509766</v>
      </c>
      <c r="E32" s="127">
        <f t="shared" si="2"/>
        <v>1153.0847068406347</v>
      </c>
      <c r="F32" s="130">
        <f t="shared" si="3"/>
        <v>2354.0161107942677</v>
      </c>
      <c r="G32" s="130">
        <f t="shared" si="4"/>
        <v>-2172.3109107942678</v>
      </c>
      <c r="H32" s="130">
        <f t="shared" si="5"/>
        <v>181.70519999999999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1"/>
      <c r="B33" s="131">
        <v>17</v>
      </c>
      <c r="C33" s="25">
        <f t="shared" si="0"/>
        <v>2038</v>
      </c>
      <c r="D33" s="127">
        <f t="shared" si="1"/>
        <v>351.18855739260204</v>
      </c>
      <c r="E33" s="127">
        <f t="shared" si="2"/>
        <v>1031.4717367251583</v>
      </c>
      <c r="F33" s="130">
        <f t="shared" si="3"/>
        <v>2517.3397058822397</v>
      </c>
      <c r="G33" s="130">
        <f t="shared" si="4"/>
        <v>-2335.6345058822399</v>
      </c>
      <c r="H33" s="130">
        <f t="shared" si="5"/>
        <v>181.70519999999999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1"/>
      <c r="B34" s="131">
        <v>18</v>
      </c>
      <c r="C34" s="25">
        <f t="shared" si="0"/>
        <v>2039</v>
      </c>
      <c r="D34" s="127">
        <f t="shared" si="1"/>
        <v>309.00415358237939</v>
      </c>
      <c r="E34" s="127">
        <f t="shared" si="2"/>
        <v>908.28065040394063</v>
      </c>
      <c r="F34" s="130">
        <f t="shared" si="3"/>
        <v>2682.7151960136798</v>
      </c>
      <c r="G34" s="130">
        <f t="shared" si="4"/>
        <v>-2501.0099960136799</v>
      </c>
      <c r="H34" s="130">
        <f t="shared" si="5"/>
        <v>181.70519999999999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1"/>
      <c r="B35" s="131">
        <v>19</v>
      </c>
      <c r="C35" s="25">
        <f t="shared" si="0"/>
        <v>2040</v>
      </c>
      <c r="D35" s="127">
        <f t="shared" si="1"/>
        <v>266.34058941863515</v>
      </c>
      <c r="E35" s="127">
        <f t="shared" si="2"/>
        <v>783.49096938068192</v>
      </c>
      <c r="F35" s="130">
        <f t="shared" si="3"/>
        <v>2850.1684412006825</v>
      </c>
      <c r="G35" s="130">
        <f t="shared" si="4"/>
        <v>-2668.4632412006827</v>
      </c>
      <c r="H35" s="130">
        <f t="shared" si="5"/>
        <v>181.70519999999999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1"/>
      <c r="B36" s="131">
        <v>20</v>
      </c>
      <c r="C36" s="25">
        <f t="shared" si="0"/>
        <v>2041</v>
      </c>
      <c r="D36" s="127">
        <f t="shared" si="1"/>
        <v>223.19242225850428</v>
      </c>
      <c r="E36" s="127">
        <f t="shared" si="2"/>
        <v>657.08194941894897</v>
      </c>
      <c r="F36" s="130">
        <f t="shared" si="3"/>
        <v>3019.7256283225465</v>
      </c>
      <c r="G36" s="130">
        <f t="shared" si="4"/>
        <v>-2838.0204283225466</v>
      </c>
      <c r="H36" s="130">
        <f t="shared" si="5"/>
        <v>181.70519999999999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"/>
      <c r="B37" s="131">
        <v>21</v>
      </c>
      <c r="C37" s="25">
        <f t="shared" si="0"/>
        <v>2042</v>
      </c>
      <c r="D37" s="127">
        <f t="shared" si="1"/>
        <v>179.55414763772899</v>
      </c>
      <c r="E37" s="127">
        <f t="shared" si="2"/>
        <v>529.03257709378113</v>
      </c>
      <c r="F37" s="130">
        <f t="shared" si="3"/>
        <v>3191.41327526849</v>
      </c>
      <c r="G37" s="130">
        <f t="shared" si="4"/>
        <v>-3009.7080752684901</v>
      </c>
      <c r="H37" s="130">
        <f t="shared" si="5"/>
        <v>181.70519999999999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1"/>
      <c r="B38" s="131">
        <v>22</v>
      </c>
      <c r="C38" s="25">
        <f t="shared" si="0"/>
        <v>2043</v>
      </c>
      <c r="D38" s="127">
        <f t="shared" si="1"/>
        <v>135.42019856844192</v>
      </c>
      <c r="E38" s="127">
        <f t="shared" si="2"/>
        <v>399.32156629856155</v>
      </c>
      <c r="F38" s="130">
        <f t="shared" si="3"/>
        <v>3365.2582351329966</v>
      </c>
      <c r="G38" s="130">
        <f t="shared" si="4"/>
        <v>-3183.5530351329967</v>
      </c>
      <c r="H38" s="130">
        <f t="shared" si="5"/>
        <v>181.70519999999999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"/>
      <c r="B39" s="131">
        <v>23</v>
      </c>
      <c r="C39" s="25">
        <f t="shared" si="0"/>
        <v>2044</v>
      </c>
      <c r="D39" s="127">
        <f t="shared" si="1"/>
        <v>90.784944828987491</v>
      </c>
      <c r="E39" s="127">
        <f t="shared" si="2"/>
        <v>267.92735470655111</v>
      </c>
      <c r="F39" s="130">
        <f t="shared" si="3"/>
        <v>3541.2877004644611</v>
      </c>
      <c r="G39" s="130">
        <f t="shared" si="4"/>
        <v>-3359.5825004644612</v>
      </c>
      <c r="H39" s="130">
        <f t="shared" si="5"/>
        <v>181.70519999999999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1"/>
      <c r="B40" s="131">
        <v>24</v>
      </c>
      <c r="C40" s="25">
        <f t="shared" si="0"/>
        <v>2045</v>
      </c>
      <c r="D40" s="127">
        <f t="shared" si="1"/>
        <v>45.642692245657557</v>
      </c>
      <c r="E40" s="127">
        <f t="shared" si="2"/>
        <v>134.82810018649548</v>
      </c>
      <c r="F40" s="130">
        <f t="shared" si="3"/>
        <v>3719.5292075678472</v>
      </c>
      <c r="G40" s="130">
        <f t="shared" si="4"/>
        <v>-3537.8240075678473</v>
      </c>
      <c r="H40" s="130">
        <f t="shared" si="5"/>
        <v>181.70519999999999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1"/>
      <c r="B41" s="131">
        <v>25</v>
      </c>
      <c r="C41" s="25">
        <f t="shared" si="0"/>
        <v>2046</v>
      </c>
      <c r="D41" s="127">
        <f t="shared" si="1"/>
        <v>0</v>
      </c>
      <c r="E41" s="127">
        <f t="shared" si="2"/>
        <v>1.6771717458963394E-3</v>
      </c>
      <c r="F41" s="130">
        <f t="shared" si="3"/>
        <v>3899.998322828254</v>
      </c>
      <c r="G41" s="130">
        <f t="shared" si="4"/>
        <v>-3718.2931228282541</v>
      </c>
      <c r="H41" s="130">
        <f t="shared" si="5"/>
        <v>181.70519999999999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1"/>
      <c r="B42" s="132">
        <v>26</v>
      </c>
      <c r="C42" s="133">
        <f t="shared" si="0"/>
        <v>2047</v>
      </c>
      <c r="D42" s="134">
        <f t="shared" si="1"/>
        <v>0</v>
      </c>
      <c r="E42" s="134">
        <f t="shared" si="2"/>
        <v>0</v>
      </c>
      <c r="F42" s="135">
        <f t="shared" si="3"/>
        <v>0</v>
      </c>
      <c r="G42" s="135">
        <f t="shared" si="4"/>
        <v>0</v>
      </c>
      <c r="H42" s="135">
        <f t="shared" si="5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1"/>
      <c r="B43" s="132">
        <v>27</v>
      </c>
      <c r="C43" s="133">
        <f t="shared" si="0"/>
        <v>2048</v>
      </c>
      <c r="D43" s="134">
        <f t="shared" si="1"/>
        <v>0</v>
      </c>
      <c r="E43" s="134">
        <f t="shared" si="2"/>
        <v>0</v>
      </c>
      <c r="F43" s="135">
        <f t="shared" si="3"/>
        <v>0</v>
      </c>
      <c r="G43" s="135">
        <f t="shared" si="4"/>
        <v>0</v>
      </c>
      <c r="H43" s="135">
        <f t="shared" si="5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1"/>
      <c r="B44" s="132">
        <v>28</v>
      </c>
      <c r="C44" s="133">
        <f t="shared" si="0"/>
        <v>2049</v>
      </c>
      <c r="D44" s="134">
        <f t="shared" si="1"/>
        <v>0</v>
      </c>
      <c r="E44" s="134">
        <f t="shared" si="2"/>
        <v>0</v>
      </c>
      <c r="F44" s="135">
        <f t="shared" si="3"/>
        <v>0</v>
      </c>
      <c r="G44" s="135">
        <f t="shared" si="4"/>
        <v>0</v>
      </c>
      <c r="H44" s="135">
        <f t="shared" si="5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1"/>
      <c r="B45" s="132">
        <v>29</v>
      </c>
      <c r="C45" s="133">
        <f t="shared" si="0"/>
        <v>2050</v>
      </c>
      <c r="D45" s="134">
        <f t="shared" si="1"/>
        <v>0</v>
      </c>
      <c r="E45" s="134">
        <f t="shared" si="2"/>
        <v>0</v>
      </c>
      <c r="F45" s="135">
        <f t="shared" si="3"/>
        <v>0</v>
      </c>
      <c r="G45" s="135">
        <f t="shared" si="4"/>
        <v>0</v>
      </c>
      <c r="H45" s="135">
        <f t="shared" si="5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1"/>
      <c r="B46" s="132">
        <v>30</v>
      </c>
      <c r="C46" s="133">
        <f t="shared" si="0"/>
        <v>2051</v>
      </c>
      <c r="D46" s="134">
        <f t="shared" si="1"/>
        <v>0</v>
      </c>
      <c r="E46" s="134">
        <f t="shared" si="2"/>
        <v>0</v>
      </c>
      <c r="F46" s="135">
        <f t="shared" si="3"/>
        <v>0</v>
      </c>
      <c r="G46" s="135">
        <f t="shared" si="4"/>
        <v>0</v>
      </c>
      <c r="H46" s="135">
        <f t="shared" si="5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H1"/>
    <mergeCell ref="B3:H3"/>
    <mergeCell ref="B15:H15"/>
  </mergeCells>
  <phoneticPr fontId="37"/>
  <pageMargins left="0.7" right="0.7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1"/>
  <sheetViews>
    <sheetView showGridLines="0" tabSelected="1" zoomScale="75" zoomScaleNormal="75" workbookViewId="0">
      <selection activeCell="R13" sqref="R13"/>
    </sheetView>
  </sheetViews>
  <sheetFormatPr defaultColWidth="14.453125" defaultRowHeight="15" customHeight="1"/>
  <cols>
    <col min="1" max="1" width="3" customWidth="1"/>
    <col min="2" max="5" width="18" customWidth="1"/>
    <col min="6" max="13" width="8.54296875" customWidth="1"/>
    <col min="14" max="14" width="8.26953125" customWidth="1"/>
  </cols>
  <sheetData>
    <row r="1" spans="1:26" ht="36" customHeight="1">
      <c r="A1" s="1"/>
      <c r="B1" s="239" t="s">
        <v>305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238" t="s">
        <v>450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8" t="s">
        <v>306</v>
      </c>
      <c r="C5" s="136">
        <f>基本情報!$C$3</f>
        <v>2022</v>
      </c>
      <c r="D5" s="249" t="s">
        <v>448</v>
      </c>
      <c r="E5" s="250"/>
      <c r="F5" s="250"/>
      <c r="G5" s="250"/>
      <c r="H5" s="250"/>
      <c r="I5" s="250"/>
      <c r="J5" s="250"/>
      <c r="K5" s="250"/>
      <c r="L5" s="250"/>
      <c r="M5" s="250"/>
      <c r="N5" s="25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8" t="s">
        <v>307</v>
      </c>
      <c r="C6" s="136">
        <f>基本情報!$E$6</f>
        <v>35</v>
      </c>
      <c r="D6" s="252"/>
      <c r="E6" s="253"/>
      <c r="F6" s="253"/>
      <c r="G6" s="253"/>
      <c r="H6" s="253"/>
      <c r="I6" s="253"/>
      <c r="J6" s="253"/>
      <c r="K6" s="253"/>
      <c r="L6" s="253"/>
      <c r="M6" s="253"/>
      <c r="N6" s="25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8" t="s">
        <v>308</v>
      </c>
      <c r="C7" s="136">
        <f>全国平均比較!$C$8</f>
        <v>4</v>
      </c>
      <c r="D7" s="252"/>
      <c r="E7" s="253"/>
      <c r="F7" s="253"/>
      <c r="G7" s="253"/>
      <c r="H7" s="253"/>
      <c r="I7" s="253"/>
      <c r="J7" s="253"/>
      <c r="K7" s="253"/>
      <c r="L7" s="253"/>
      <c r="M7" s="253"/>
      <c r="N7" s="25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8" t="s">
        <v>309</v>
      </c>
      <c r="C8" s="137">
        <f>金融資産!$C$12</f>
        <v>500</v>
      </c>
      <c r="D8" s="252"/>
      <c r="E8" s="253"/>
      <c r="F8" s="253"/>
      <c r="G8" s="253"/>
      <c r="H8" s="253"/>
      <c r="I8" s="253"/>
      <c r="J8" s="253"/>
      <c r="K8" s="253"/>
      <c r="L8" s="253"/>
      <c r="M8" s="253"/>
      <c r="N8" s="25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8" t="s">
        <v>310</v>
      </c>
      <c r="C9" s="138">
        <f>住宅ローン償還表!$E$12</f>
        <v>181.70519999999999</v>
      </c>
      <c r="D9" s="252"/>
      <c r="E9" s="253"/>
      <c r="F9" s="253"/>
      <c r="G9" s="253"/>
      <c r="H9" s="253"/>
      <c r="I9" s="253"/>
      <c r="J9" s="253"/>
      <c r="K9" s="253"/>
      <c r="L9" s="253"/>
      <c r="M9" s="253"/>
      <c r="N9" s="25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8" t="s">
        <v>311</v>
      </c>
      <c r="C10" s="136">
        <f>基本情報!$C$17</f>
        <v>65</v>
      </c>
      <c r="D10" s="252"/>
      <c r="E10" s="253"/>
      <c r="F10" s="253"/>
      <c r="G10" s="253"/>
      <c r="H10" s="253"/>
      <c r="I10" s="253"/>
      <c r="J10" s="253"/>
      <c r="K10" s="253"/>
      <c r="L10" s="253"/>
      <c r="M10" s="253"/>
      <c r="N10" s="25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8" t="s">
        <v>312</v>
      </c>
      <c r="C11" s="137">
        <f>基本情報!$C$16+基本情報!$D$16</f>
        <v>1500</v>
      </c>
      <c r="D11" s="255"/>
      <c r="E11" s="256"/>
      <c r="F11" s="256"/>
      <c r="G11" s="256"/>
      <c r="H11" s="256"/>
      <c r="I11" s="256"/>
      <c r="J11" s="256"/>
      <c r="K11" s="256"/>
      <c r="L11" s="256"/>
      <c r="M11" s="256"/>
      <c r="N11" s="25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" customHeight="1">
      <c r="A14" s="1"/>
      <c r="B14" s="242" t="s">
        <v>313</v>
      </c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s="221" customFormat="1" ht="14.25" customHeight="1">
      <c r="A36" s="220"/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</row>
    <row r="37" spans="1:26" ht="21.5" customHeight="1">
      <c r="A37" s="1"/>
      <c r="B37" s="238" t="s">
        <v>314</v>
      </c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>
      <c r="A59" s="1"/>
      <c r="B59" s="238" t="s">
        <v>315</v>
      </c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>
      <c r="A61" s="1"/>
      <c r="B61" s="21" t="s">
        <v>79</v>
      </c>
      <c r="C61" s="21" t="s">
        <v>316</v>
      </c>
      <c r="D61" s="21" t="s">
        <v>202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>
      <c r="A62" s="1"/>
      <c r="B62" s="18" t="s">
        <v>317</v>
      </c>
      <c r="C62" s="139">
        <f>全国平均比較!C37</f>
        <v>800</v>
      </c>
      <c r="D62" s="139">
        <f>全国平均比較!D37</f>
        <v>536.80000000000007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>
      <c r="A63" s="1"/>
      <c r="B63" s="18" t="s">
        <v>318</v>
      </c>
      <c r="C63" s="139">
        <f>全国平均比較!C38</f>
        <v>864.96</v>
      </c>
      <c r="D63" s="139">
        <f>全国平均比較!D38</f>
        <v>386.4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>
      <c r="A64" s="1"/>
      <c r="B64" s="18" t="s">
        <v>28</v>
      </c>
      <c r="C64" s="139">
        <f>全国平均比較!C39</f>
        <v>-64.960000000000036</v>
      </c>
      <c r="D64" s="139">
        <f>全国平均比較!D39</f>
        <v>150.40000000000009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/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">
    <mergeCell ref="B37:N37"/>
    <mergeCell ref="B14:N14"/>
    <mergeCell ref="D5:N11"/>
    <mergeCell ref="B1:N1"/>
    <mergeCell ref="B59:N59"/>
    <mergeCell ref="B3:N3"/>
  </mergeCells>
  <phoneticPr fontId="37"/>
  <pageMargins left="0.70866141732283472" right="0.70866141732283472" top="0.74803149606299213" bottom="0.74803149606299213" header="0" footer="0"/>
  <pageSetup paperSize="9" scale="5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showGridLines="0" topLeftCell="A2" workbookViewId="0"/>
  </sheetViews>
  <sheetFormatPr defaultColWidth="14.453125" defaultRowHeight="15" customHeight="1"/>
  <cols>
    <col min="1" max="1" width="3" customWidth="1"/>
    <col min="2" max="2" width="22" customWidth="1"/>
    <col min="3" max="4" width="16" customWidth="1"/>
    <col min="5" max="5" width="34.453125" customWidth="1"/>
    <col min="6" max="7" width="16" customWidth="1"/>
  </cols>
  <sheetData>
    <row r="1" spans="1:26" ht="17.25" customHeight="1">
      <c r="A1" s="1"/>
      <c r="B1" s="239" t="s">
        <v>319</v>
      </c>
      <c r="C1" s="223"/>
      <c r="D1" s="223"/>
      <c r="E1" s="223"/>
      <c r="F1" s="223"/>
      <c r="G1" s="22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1"/>
      <c r="B3" s="238" t="s">
        <v>320</v>
      </c>
      <c r="C3" s="223"/>
      <c r="D3" s="223"/>
      <c r="E3" s="223"/>
      <c r="F3" s="223"/>
      <c r="G3" s="22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1"/>
      <c r="B4" s="21" t="s">
        <v>321</v>
      </c>
      <c r="C4" s="21" t="s">
        <v>322</v>
      </c>
      <c r="D4" s="21" t="s">
        <v>323</v>
      </c>
      <c r="E4" s="21" t="s">
        <v>62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1"/>
      <c r="B5" s="18" t="s">
        <v>324</v>
      </c>
      <c r="C5" s="27">
        <v>300</v>
      </c>
      <c r="D5" s="128">
        <v>1E-4</v>
      </c>
      <c r="E5" s="118" t="s">
        <v>325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"/>
      <c r="B6" s="18" t="s">
        <v>326</v>
      </c>
      <c r="C6" s="27">
        <v>100</v>
      </c>
      <c r="D6" s="128">
        <v>1E-3</v>
      </c>
      <c r="E6" s="118" t="s">
        <v>327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1"/>
      <c r="B7" s="18" t="s">
        <v>328</v>
      </c>
      <c r="C7" s="27">
        <v>100</v>
      </c>
      <c r="D7" s="128">
        <v>1E-4</v>
      </c>
      <c r="E7" s="117" t="s">
        <v>329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1"/>
      <c r="B8" s="18" t="s">
        <v>330</v>
      </c>
      <c r="C8" s="27">
        <v>0</v>
      </c>
      <c r="D8" s="128">
        <v>0.04</v>
      </c>
      <c r="E8" s="117" t="s">
        <v>331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1"/>
      <c r="B9" s="140" t="s">
        <v>332</v>
      </c>
      <c r="C9" s="27">
        <v>0</v>
      </c>
      <c r="D9" s="128">
        <v>0.04</v>
      </c>
      <c r="E9" s="117" t="s">
        <v>331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1"/>
      <c r="B10" s="18" t="s">
        <v>242</v>
      </c>
      <c r="C10" s="27">
        <v>0</v>
      </c>
      <c r="D10" s="128">
        <v>0</v>
      </c>
      <c r="E10" s="11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"/>
      <c r="B12" s="141" t="s">
        <v>284</v>
      </c>
      <c r="C12" s="142">
        <f>SUM(C5:C10)</f>
        <v>500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1"/>
      <c r="B14" s="242" t="s">
        <v>333</v>
      </c>
      <c r="C14" s="223"/>
      <c r="D14" s="223"/>
      <c r="E14" s="223"/>
      <c r="F14" s="223"/>
      <c r="G14" s="22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1"/>
      <c r="B15" s="18" t="s">
        <v>334</v>
      </c>
      <c r="C15" s="128">
        <v>5.0000000000000001E-3</v>
      </c>
      <c r="D15" s="143" t="s">
        <v>335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3:G3"/>
    <mergeCell ref="B14:G14"/>
    <mergeCell ref="B1:G1"/>
  </mergeCells>
  <phoneticPr fontId="37"/>
  <pageMargins left="0.7" right="0.7" top="0.75" bottom="0.75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000"/>
  <sheetViews>
    <sheetView showGridLines="0" workbookViewId="0">
      <selection activeCell="F18" sqref="F18"/>
    </sheetView>
  </sheetViews>
  <sheetFormatPr defaultColWidth="14.453125" defaultRowHeight="15" customHeight="1"/>
  <cols>
    <col min="1" max="1" width="3" customWidth="1"/>
    <col min="2" max="2" width="22" customWidth="1"/>
    <col min="3" max="8" width="16" customWidth="1"/>
  </cols>
  <sheetData>
    <row r="1" spans="1:26" ht="17.25" customHeight="1">
      <c r="A1" s="1"/>
      <c r="B1" s="239" t="s">
        <v>336</v>
      </c>
      <c r="C1" s="223"/>
      <c r="D1" s="223"/>
      <c r="E1" s="223"/>
      <c r="F1" s="223"/>
      <c r="G1" s="223"/>
      <c r="H1" s="22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1"/>
      <c r="B3" s="238" t="s">
        <v>337</v>
      </c>
      <c r="C3" s="223"/>
      <c r="D3" s="223"/>
      <c r="E3" s="223"/>
      <c r="F3" s="223"/>
      <c r="G3" s="223"/>
      <c r="H3" s="22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1"/>
      <c r="B4" s="21" t="s">
        <v>338</v>
      </c>
      <c r="C4" s="21" t="s">
        <v>288</v>
      </c>
      <c r="D4" s="21" t="s">
        <v>339</v>
      </c>
      <c r="E4" s="21" t="s">
        <v>340</v>
      </c>
      <c r="F4" s="21" t="s">
        <v>341</v>
      </c>
      <c r="G4" s="21" t="s">
        <v>342</v>
      </c>
      <c r="H4" s="21" t="s">
        <v>264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1"/>
      <c r="B5" s="18" t="s">
        <v>343</v>
      </c>
      <c r="C5" s="23" t="s">
        <v>344</v>
      </c>
      <c r="D5" s="23" t="s">
        <v>345</v>
      </c>
      <c r="E5" s="23">
        <v>5000</v>
      </c>
      <c r="F5" s="116">
        <v>24</v>
      </c>
      <c r="G5" s="19">
        <v>2013</v>
      </c>
      <c r="H5" s="19">
        <v>2043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"/>
      <c r="B6" s="18" t="s">
        <v>346</v>
      </c>
      <c r="C6" s="23" t="s">
        <v>347</v>
      </c>
      <c r="D6" s="23" t="s">
        <v>348</v>
      </c>
      <c r="E6" s="23">
        <v>400</v>
      </c>
      <c r="F6" s="116">
        <v>2.4</v>
      </c>
      <c r="G6" s="19">
        <v>2010</v>
      </c>
      <c r="H6" s="19">
        <v>2046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1"/>
      <c r="B7" s="18" t="s">
        <v>228</v>
      </c>
      <c r="C7" s="100" t="s">
        <v>349</v>
      </c>
      <c r="D7" s="100" t="s">
        <v>345</v>
      </c>
      <c r="E7" s="144">
        <f>収入計画!C32</f>
        <v>110</v>
      </c>
      <c r="F7" s="145">
        <f>支出計画!C11</f>
        <v>6.24</v>
      </c>
      <c r="G7" s="25">
        <f>IFERROR(YEAR(基本情報!D8),"")</f>
        <v>2018</v>
      </c>
      <c r="H7" s="25">
        <f>IFERROR(YEAR(基本情報!D8)+17,"")</f>
        <v>2035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1"/>
      <c r="B8" s="146" t="s">
        <v>230</v>
      </c>
      <c r="C8" s="104" t="s">
        <v>349</v>
      </c>
      <c r="D8" s="104" t="s">
        <v>345</v>
      </c>
      <c r="E8" s="147">
        <v>110</v>
      </c>
      <c r="F8" s="145">
        <f>支出計画!C12</f>
        <v>6.24</v>
      </c>
      <c r="G8" s="25">
        <f>IFERROR(YEAR(基本情報!D9),"")</f>
        <v>2020</v>
      </c>
      <c r="H8" s="25">
        <f>IFERROR(YEAR(基本情報!D9)+17,"")</f>
        <v>2037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48" t="s">
        <v>232</v>
      </c>
      <c r="C9" s="149" t="s">
        <v>349</v>
      </c>
      <c r="D9" s="104" t="s">
        <v>345</v>
      </c>
      <c r="E9" s="147">
        <v>110</v>
      </c>
      <c r="F9" s="145">
        <f>支出計画!C13</f>
        <v>6.24</v>
      </c>
      <c r="G9" s="25">
        <f>IFERROR(YEAR(基本情報!D10),"")</f>
        <v>2027</v>
      </c>
      <c r="H9" s="25">
        <f>IFERROR(YEAR(基本情報!D10)+17,"")</f>
        <v>2044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48" t="s">
        <v>234</v>
      </c>
      <c r="C10" s="149" t="s">
        <v>349</v>
      </c>
      <c r="D10" s="104" t="s">
        <v>345</v>
      </c>
      <c r="E10" s="147">
        <v>110</v>
      </c>
      <c r="F10" s="145">
        <f>支出計画!C14</f>
        <v>6.24</v>
      </c>
      <c r="G10" s="25">
        <f>IFERROR(YEAR(基本情報!D11),"")</f>
        <v>2029</v>
      </c>
      <c r="H10" s="25">
        <f>IFERROR(YEAR(基本情報!D11)+17,"")</f>
        <v>2046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48" t="s">
        <v>236</v>
      </c>
      <c r="C11" s="149" t="s">
        <v>349</v>
      </c>
      <c r="D11" s="104" t="s">
        <v>345</v>
      </c>
      <c r="E11" s="147">
        <v>110</v>
      </c>
      <c r="F11" s="145">
        <f>支出計画!C15</f>
        <v>6.24</v>
      </c>
      <c r="G11" s="25">
        <f>IFERROR(YEAR(基本情報!D12),"")</f>
        <v>2031</v>
      </c>
      <c r="H11" s="25">
        <f>IFERROR(YEAR(基本情報!D12)+17,"")</f>
        <v>2048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48" t="s">
        <v>350</v>
      </c>
      <c r="C12" s="150" t="s">
        <v>351</v>
      </c>
      <c r="D12" s="150" t="s">
        <v>345</v>
      </c>
      <c r="E12" s="151"/>
      <c r="F12" s="151">
        <v>7</v>
      </c>
      <c r="G12" s="152">
        <v>2010</v>
      </c>
      <c r="H12" s="152">
        <v>2080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:H1"/>
    <mergeCell ref="B3:H3"/>
  </mergeCells>
  <phoneticPr fontId="37"/>
  <pageMargins left="0.7" right="0.7" top="0.75" bottom="0.75" header="0" footer="0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000"/>
  <sheetViews>
    <sheetView showGridLines="0" topLeftCell="C30" zoomScale="85" zoomScaleNormal="85" workbookViewId="0">
      <selection activeCell="L46" sqref="L46"/>
    </sheetView>
  </sheetViews>
  <sheetFormatPr defaultColWidth="14.453125" defaultRowHeight="15" customHeight="1"/>
  <cols>
    <col min="1" max="1" width="3" customWidth="1"/>
    <col min="2" max="2" width="12" customWidth="1"/>
    <col min="3" max="8" width="10" customWidth="1"/>
    <col min="9" max="10" width="10.26953125" customWidth="1"/>
    <col min="11" max="11" width="11.81640625" customWidth="1"/>
    <col min="12" max="12" width="24.81640625" customWidth="1"/>
    <col min="13" max="13" width="34.81640625" customWidth="1"/>
    <col min="14" max="14" width="17.26953125" customWidth="1"/>
  </cols>
  <sheetData>
    <row r="1" spans="1:26" ht="17.25" customHeight="1">
      <c r="A1" s="1"/>
      <c r="B1" s="239" t="s">
        <v>352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6" customHeight="1">
      <c r="A3" s="1"/>
      <c r="B3" s="60" t="s">
        <v>5</v>
      </c>
      <c r="C3" s="60" t="s">
        <v>6</v>
      </c>
      <c r="D3" s="60" t="s">
        <v>353</v>
      </c>
      <c r="E3" s="60" t="s">
        <v>354</v>
      </c>
      <c r="F3" s="60" t="s">
        <v>355</v>
      </c>
      <c r="G3" s="60" t="s">
        <v>356</v>
      </c>
      <c r="H3" s="60" t="s">
        <v>357</v>
      </c>
      <c r="I3" s="60" t="s">
        <v>358</v>
      </c>
      <c r="J3" s="60" t="s">
        <v>359</v>
      </c>
      <c r="K3" s="153" t="s">
        <v>360</v>
      </c>
      <c r="L3" s="60" t="s">
        <v>361</v>
      </c>
      <c r="M3" s="60" t="s">
        <v>362</v>
      </c>
      <c r="N3" s="60" t="s">
        <v>62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1"/>
      <c r="B4" s="154">
        <v>1</v>
      </c>
      <c r="C4" s="155">
        <f>基本情報!$C$3+B4-1</f>
        <v>2022</v>
      </c>
      <c r="D4" s="155">
        <f>IF(基本情報!$D$6="","",C4-YEAR(基本情報!$D$6)-IF(OR(MONTH(基本情報!$D$6)&gt;1,DAY(基本情報!$D$6)&gt;1),1,0))</f>
        <v>35</v>
      </c>
      <c r="E4" s="155">
        <f>IF(基本情報!$D$7="","",C4-YEAR(基本情報!$D$7)-IF(OR(MONTH(基本情報!$D$7)&gt;1,DAY(基本情報!$D$7)&gt;1),1,0))</f>
        <v>34</v>
      </c>
      <c r="F4" s="155">
        <f>IF(OR(基本情報!$D$8="",C4&lt;=YEAR(基本情報!$D$8)),"",MAX(0,C4-YEAR(基本情報!$D$8)-IF(OR(MONTH(基本情報!$D$8)&gt;1,DAY(基本情報!$D$8)&gt;1),1,0)))</f>
        <v>3</v>
      </c>
      <c r="G4" s="155">
        <f>IF(OR(基本情報!$D$9="",C4&lt;=YEAR(基本情報!$D$9)),"",MAX(0,C4-YEAR(基本情報!$D$9)-IF(OR(MONTH(基本情報!$D$9)&gt;1,DAY(基本情報!$D$9)&gt;1),1,0)))</f>
        <v>1</v>
      </c>
      <c r="H4" s="155" t="str">
        <f>IF(OR(基本情報!$D$10="",C4&lt;=YEAR(基本情報!$D$10)),"",MAX(0,C4-YEAR(基本情報!$D$10)-IF(OR(MONTH(基本情報!$D$10)&gt;1,DAY(基本情報!$D$10)&gt;1),1,0)))</f>
        <v/>
      </c>
      <c r="I4" s="156" t="str">
        <f>IF(OR(基本情報!$D$11="",C4&lt;=YEAR(基本情報!$D$11)),"",MAX(0,C4-YEAR(基本情報!$D$11)-IF(OR(MONTH(基本情報!$D$11)&gt;1,DAY(基本情報!$D$11)&gt;1),1,0)))</f>
        <v/>
      </c>
      <c r="J4" s="156" t="str">
        <f>IF(OR(基本情報!$D$12="",C4&lt;=YEAR(基本情報!$D$12)),"",MAX(0,C4-YEAR(基本情報!$D$12)-IF(OR(MONTH(基本情報!$D$12)&gt;1,DAY(基本情報!$D$12)&gt;1),1,0)))</f>
        <v/>
      </c>
      <c r="K4" s="157" t="s">
        <v>363</v>
      </c>
      <c r="L4" s="158"/>
      <c r="M4" s="159" t="s">
        <v>364</v>
      </c>
      <c r="N4" s="15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1"/>
      <c r="B5" s="154">
        <f t="shared" ref="B5:B36" si="0">B4+1</f>
        <v>2</v>
      </c>
      <c r="C5" s="155">
        <f>基本情報!$C$3+B5-1</f>
        <v>2023</v>
      </c>
      <c r="D5" s="155">
        <f>IF(基本情報!$D$6="","",C5-YEAR(基本情報!$D$6)-IF(OR(MONTH(基本情報!$D$6)&gt;1,DAY(基本情報!$D$6)&gt;1),1,0))</f>
        <v>36</v>
      </c>
      <c r="E5" s="155">
        <f>IF(基本情報!$D$7="","",C5-YEAR(基本情報!$D$7)-IF(OR(MONTH(基本情報!$D$7)&gt;1,DAY(基本情報!$D$7)&gt;1),1,0))</f>
        <v>35</v>
      </c>
      <c r="F5" s="155">
        <f>IF(OR(基本情報!$D$8="",C5&lt;=YEAR(基本情報!$D$8)),"",MAX(0,C5-YEAR(基本情報!$D$8)-IF(OR(MONTH(基本情報!$D$8)&gt;1,DAY(基本情報!$D$8)&gt;1),1,0)))</f>
        <v>4</v>
      </c>
      <c r="G5" s="155">
        <f>IF(OR(基本情報!$D$9="",C5&lt;=YEAR(基本情報!$D$9)),"",MAX(0,C5-YEAR(基本情報!$D$9)-IF(OR(MONTH(基本情報!$D$9)&gt;1,DAY(基本情報!$D$9)&gt;1),1,0)))</f>
        <v>2</v>
      </c>
      <c r="H5" s="155" t="str">
        <f>IF(OR(基本情報!$D$10="",C5&lt;=YEAR(基本情報!$D$10)),"",MAX(0,C5-YEAR(基本情報!$D$10)-IF(OR(MONTH(基本情報!$D$10)&gt;1,DAY(基本情報!$D$10)&gt;1),1,0)))</f>
        <v/>
      </c>
      <c r="I5" s="156" t="str">
        <f>IF(OR(基本情報!$D$11="",C5&lt;=YEAR(基本情報!$D$11)),"",MAX(0,C5-YEAR(基本情報!$D$11)-IF(OR(MONTH(基本情報!$D$11)&gt;1,DAY(基本情報!$D$11)&gt;1),1,0)))</f>
        <v/>
      </c>
      <c r="J5" s="156" t="str">
        <f>IF(OR(基本情報!$D$12="",C5&lt;=YEAR(基本情報!$D$12)),"",MAX(0,C5-YEAR(基本情報!$D$12)-IF(OR(MONTH(基本情報!$D$12)&gt;1,DAY(基本情報!$D$12)&gt;1),1,0)))</f>
        <v/>
      </c>
      <c r="K5" s="157" t="s">
        <v>363</v>
      </c>
      <c r="L5" s="158"/>
      <c r="M5" s="158"/>
      <c r="N5" s="158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"/>
      <c r="B6" s="154">
        <f t="shared" si="0"/>
        <v>3</v>
      </c>
      <c r="C6" s="155">
        <f>基本情報!$C$3+B6-1</f>
        <v>2024</v>
      </c>
      <c r="D6" s="155">
        <f>IF(基本情報!$D$6="","",C6-YEAR(基本情報!$D$6)-IF(OR(MONTH(基本情報!$D$6)&gt;1,DAY(基本情報!$D$6)&gt;1),1,0))</f>
        <v>37</v>
      </c>
      <c r="E6" s="155">
        <f>IF(基本情報!$D$7="","",C6-YEAR(基本情報!$D$7)-IF(OR(MONTH(基本情報!$D$7)&gt;1,DAY(基本情報!$D$7)&gt;1),1,0))</f>
        <v>36</v>
      </c>
      <c r="F6" s="155">
        <f>IF(OR(基本情報!$D$8="",C6&lt;=YEAR(基本情報!$D$8)),"",MAX(0,C6-YEAR(基本情報!$D$8)-IF(OR(MONTH(基本情報!$D$8)&gt;1,DAY(基本情報!$D$8)&gt;1),1,0)))</f>
        <v>5</v>
      </c>
      <c r="G6" s="155">
        <f>IF(OR(基本情報!$D$9="",C6&lt;=YEAR(基本情報!$D$9)),"",MAX(0,C6-YEAR(基本情報!$D$9)-IF(OR(MONTH(基本情報!$D$9)&gt;1,DAY(基本情報!$D$9)&gt;1),1,0)))</f>
        <v>3</v>
      </c>
      <c r="H6" s="155" t="str">
        <f>IF(OR(基本情報!$D$10="",C6&lt;=YEAR(基本情報!$D$10)),"",MAX(0,C6-YEAR(基本情報!$D$10)-IF(OR(MONTH(基本情報!$D$10)&gt;1,DAY(基本情報!$D$10)&gt;1),1,0)))</f>
        <v/>
      </c>
      <c r="I6" s="156" t="str">
        <f>IF(OR(基本情報!$D$11="",C6&lt;=YEAR(基本情報!$D$11)),"",MAX(0,C6-YEAR(基本情報!$D$11)-IF(OR(MONTH(基本情報!$D$11)&gt;1,DAY(基本情報!$D$11)&gt;1),1,0)))</f>
        <v/>
      </c>
      <c r="J6" s="156" t="str">
        <f>IF(OR(基本情報!$D$12="",C6&lt;=YEAR(基本情報!$D$12)),"",MAX(0,C6-YEAR(基本情報!$D$12)-IF(OR(MONTH(基本情報!$D$12)&gt;1,DAY(基本情報!$D$12)&gt;1),1,0)))</f>
        <v/>
      </c>
      <c r="K6" s="157" t="s">
        <v>363</v>
      </c>
      <c r="L6" s="158"/>
      <c r="M6" s="159" t="s">
        <v>365</v>
      </c>
      <c r="N6" s="158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1"/>
      <c r="B7" s="154">
        <f t="shared" si="0"/>
        <v>4</v>
      </c>
      <c r="C7" s="155">
        <f>基本情報!$C$3+B7-1</f>
        <v>2025</v>
      </c>
      <c r="D7" s="155">
        <f>IF(基本情報!$D$6="","",C7-YEAR(基本情報!$D$6)-IF(OR(MONTH(基本情報!$D$6)&gt;1,DAY(基本情報!$D$6)&gt;1),1,0))</f>
        <v>38</v>
      </c>
      <c r="E7" s="155">
        <f>IF(基本情報!$D$7="","",C7-YEAR(基本情報!$D$7)-IF(OR(MONTH(基本情報!$D$7)&gt;1,DAY(基本情報!$D$7)&gt;1),1,0))</f>
        <v>37</v>
      </c>
      <c r="F7" s="155">
        <f>IF(OR(基本情報!$D$8="",C7&lt;=YEAR(基本情報!$D$8)),"",MAX(0,C7-YEAR(基本情報!$D$8)-IF(OR(MONTH(基本情報!$D$8)&gt;1,DAY(基本情報!$D$8)&gt;1),1,0)))</f>
        <v>6</v>
      </c>
      <c r="G7" s="155">
        <f>IF(OR(基本情報!$D$9="",C7&lt;=YEAR(基本情報!$D$9)),"",MAX(0,C7-YEAR(基本情報!$D$9)-IF(OR(MONTH(基本情報!$D$9)&gt;1,DAY(基本情報!$D$9)&gt;1),1,0)))</f>
        <v>4</v>
      </c>
      <c r="H7" s="155" t="str">
        <f>IF(OR(基本情報!$D$10="",C7&lt;=YEAR(基本情報!$D$10)),"",MAX(0,C7-YEAR(基本情報!$D$10)-IF(OR(MONTH(基本情報!$D$10)&gt;1,DAY(基本情報!$D$10)&gt;1),1,0)))</f>
        <v/>
      </c>
      <c r="I7" s="156" t="str">
        <f>IF(OR(基本情報!$D$11="",C7&lt;=YEAR(基本情報!$D$11)),"",MAX(0,C7-YEAR(基本情報!$D$11)-IF(OR(MONTH(基本情報!$D$11)&gt;1,DAY(基本情報!$D$11)&gt;1),1,0)))</f>
        <v/>
      </c>
      <c r="J7" s="156" t="str">
        <f>IF(OR(基本情報!$D$12="",C7&lt;=YEAR(基本情報!$D$12)),"",MAX(0,C7-YEAR(基本情報!$D$12)-IF(OR(MONTH(基本情報!$D$12)&gt;1,DAY(基本情報!$D$12)&gt;1),1,0)))</f>
        <v/>
      </c>
      <c r="K7" s="157" t="s">
        <v>363</v>
      </c>
      <c r="L7" s="158"/>
      <c r="M7" s="159" t="s">
        <v>366</v>
      </c>
      <c r="N7" s="15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1"/>
      <c r="B8" s="154">
        <f t="shared" si="0"/>
        <v>5</v>
      </c>
      <c r="C8" s="155">
        <f>基本情報!$C$3+B8-1</f>
        <v>2026</v>
      </c>
      <c r="D8" s="155">
        <f>IF(基本情報!$D$6="","",C8-YEAR(基本情報!$D$6)-IF(OR(MONTH(基本情報!$D$6)&gt;1,DAY(基本情報!$D$6)&gt;1),1,0))</f>
        <v>39</v>
      </c>
      <c r="E8" s="155">
        <f>IF(基本情報!$D$7="","",C8-YEAR(基本情報!$D$7)-IF(OR(MONTH(基本情報!$D$7)&gt;1,DAY(基本情報!$D$7)&gt;1),1,0))</f>
        <v>38</v>
      </c>
      <c r="F8" s="155">
        <f>IF(OR(基本情報!$D$8="",C8&lt;=YEAR(基本情報!$D$8)),"",MAX(0,C8-YEAR(基本情報!$D$8)-IF(OR(MONTH(基本情報!$D$8)&gt;1,DAY(基本情報!$D$8)&gt;1),1,0)))</f>
        <v>7</v>
      </c>
      <c r="G8" s="155">
        <f>IF(OR(基本情報!$D$9="",C8&lt;=YEAR(基本情報!$D$9)),"",MAX(0,C8-YEAR(基本情報!$D$9)-IF(OR(MONTH(基本情報!$D$9)&gt;1,DAY(基本情報!$D$9)&gt;1),1,0)))</f>
        <v>5</v>
      </c>
      <c r="H8" s="155" t="str">
        <f>IF(OR(基本情報!$D$10="",C8&lt;=YEAR(基本情報!$D$10)),"",MAX(0,C8-YEAR(基本情報!$D$10)-IF(OR(MONTH(基本情報!$D$10)&gt;1,DAY(基本情報!$D$10)&gt;1),1,0)))</f>
        <v/>
      </c>
      <c r="I8" s="156" t="str">
        <f>IF(OR(基本情報!$D$11="",C8&lt;=YEAR(基本情報!$D$11)),"",MAX(0,C8-YEAR(基本情報!$D$11)-IF(OR(MONTH(基本情報!$D$11)&gt;1,DAY(基本情報!$D$11)&gt;1),1,0)))</f>
        <v/>
      </c>
      <c r="J8" s="156" t="str">
        <f>IF(OR(基本情報!$D$12="",C8&lt;=YEAR(基本情報!$D$12)),"",MAX(0,C8-YEAR(基本情報!$D$12)-IF(OR(MONTH(基本情報!$D$12)&gt;1,DAY(基本情報!$D$12)&gt;1),1,0)))</f>
        <v/>
      </c>
      <c r="K8" s="157" t="s">
        <v>363</v>
      </c>
      <c r="L8" s="158"/>
      <c r="M8" s="158"/>
      <c r="N8" s="158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1"/>
      <c r="B9" s="154">
        <f t="shared" si="0"/>
        <v>6</v>
      </c>
      <c r="C9" s="155">
        <f>基本情報!$C$3+B9-1</f>
        <v>2027</v>
      </c>
      <c r="D9" s="155">
        <f>IF(基本情報!$D$6="","",C9-YEAR(基本情報!$D$6)-IF(OR(MONTH(基本情報!$D$6)&gt;1,DAY(基本情報!$D$6)&gt;1),1,0))</f>
        <v>40</v>
      </c>
      <c r="E9" s="155">
        <f>IF(基本情報!$D$7="","",C9-YEAR(基本情報!$D$7)-IF(OR(MONTH(基本情報!$D$7)&gt;1,DAY(基本情報!$D$7)&gt;1),1,0))</f>
        <v>39</v>
      </c>
      <c r="F9" s="155">
        <f>IF(OR(基本情報!$D$8="",C9&lt;=YEAR(基本情報!$D$8)),"",MAX(0,C9-YEAR(基本情報!$D$8)-IF(OR(MONTH(基本情報!$D$8)&gt;1,DAY(基本情報!$D$8)&gt;1),1,0)))</f>
        <v>8</v>
      </c>
      <c r="G9" s="155">
        <f>IF(OR(基本情報!$D$9="",C9&lt;=YEAR(基本情報!$D$9)),"",MAX(0,C9-YEAR(基本情報!$D$9)-IF(OR(MONTH(基本情報!$D$9)&gt;1,DAY(基本情報!$D$9)&gt;1),1,0)))</f>
        <v>6</v>
      </c>
      <c r="H9" s="155" t="str">
        <f>IF(OR(基本情報!$D$10="",C9&lt;=YEAR(基本情報!$D$10)),"",MAX(0,C9-YEAR(基本情報!$D$10)-IF(OR(MONTH(基本情報!$D$10)&gt;1,DAY(基本情報!$D$10)&gt;1),1,0)))</f>
        <v/>
      </c>
      <c r="I9" s="156" t="str">
        <f>IF(OR(基本情報!$D$11="",C9&lt;=YEAR(基本情報!$D$11)),"",MAX(0,C9-YEAR(基本情報!$D$11)-IF(OR(MONTH(基本情報!$D$11)&gt;1,DAY(基本情報!$D$11)&gt;1),1,0)))</f>
        <v/>
      </c>
      <c r="J9" s="156" t="str">
        <f>IF(OR(基本情報!$D$12="",C9&lt;=YEAR(基本情報!$D$12)),"",MAX(0,C9-YEAR(基本情報!$D$12)-IF(OR(MONTH(基本情報!$D$12)&gt;1,DAY(基本情報!$D$12)&gt;1),1,0)))</f>
        <v/>
      </c>
      <c r="K9" s="157" t="s">
        <v>367</v>
      </c>
      <c r="L9" s="158"/>
      <c r="M9" s="159" t="s">
        <v>368</v>
      </c>
      <c r="N9" s="158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1"/>
      <c r="B10" s="154">
        <f t="shared" si="0"/>
        <v>7</v>
      </c>
      <c r="C10" s="155">
        <f>基本情報!$C$3+B10-1</f>
        <v>2028</v>
      </c>
      <c r="D10" s="155">
        <f>IF(基本情報!$D$6="","",C10-YEAR(基本情報!$D$6)-IF(OR(MONTH(基本情報!$D$6)&gt;1,DAY(基本情報!$D$6)&gt;1),1,0))</f>
        <v>41</v>
      </c>
      <c r="E10" s="155">
        <f>IF(基本情報!$D$7="","",C10-YEAR(基本情報!$D$7)-IF(OR(MONTH(基本情報!$D$7)&gt;1,DAY(基本情報!$D$7)&gt;1),1,0))</f>
        <v>40</v>
      </c>
      <c r="F10" s="155">
        <f>IF(OR(基本情報!$D$8="",C10&lt;=YEAR(基本情報!$D$8)),"",MAX(0,C10-YEAR(基本情報!$D$8)-IF(OR(MONTH(基本情報!$D$8)&gt;1,DAY(基本情報!$D$8)&gt;1),1,0)))</f>
        <v>9</v>
      </c>
      <c r="G10" s="155">
        <f>IF(OR(基本情報!$D$9="",C10&lt;=YEAR(基本情報!$D$9)),"",MAX(0,C10-YEAR(基本情報!$D$9)-IF(OR(MONTH(基本情報!$D$9)&gt;1,DAY(基本情報!$D$9)&gt;1),1,0)))</f>
        <v>7</v>
      </c>
      <c r="H10" s="155">
        <f>IF(OR(基本情報!$D$10="",C10&lt;=YEAR(基本情報!$D$10)),"",MAX(0,C10-YEAR(基本情報!$D$10)-IF(OR(MONTH(基本情報!$D$10)&gt;1,DAY(基本情報!$D$10)&gt;1),1,0)))</f>
        <v>0</v>
      </c>
      <c r="I10" s="156" t="str">
        <f>IF(OR(基本情報!$D$11="",C10&lt;=YEAR(基本情報!$D$11)),"",MAX(0,C10-YEAR(基本情報!$D$11)-IF(OR(MONTH(基本情報!$D$11)&gt;1,DAY(基本情報!$D$11)&gt;1),1,0)))</f>
        <v/>
      </c>
      <c r="J10" s="156" t="str">
        <f>IF(OR(基本情報!$D$12="",C10&lt;=YEAR(基本情報!$D$12)),"",MAX(0,C10-YEAR(基本情報!$D$12)-IF(OR(MONTH(基本情報!$D$12)&gt;1,DAY(基本情報!$D$12)&gt;1),1,0)))</f>
        <v/>
      </c>
      <c r="K10" s="157" t="s">
        <v>367</v>
      </c>
      <c r="L10" s="158"/>
      <c r="M10" s="158"/>
      <c r="N10" s="158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1"/>
      <c r="B11" s="154">
        <f t="shared" si="0"/>
        <v>8</v>
      </c>
      <c r="C11" s="155">
        <f>基本情報!$C$3+B11-1</f>
        <v>2029</v>
      </c>
      <c r="D11" s="155">
        <f>IF(基本情報!$D$6="","",C11-YEAR(基本情報!$D$6)-IF(OR(MONTH(基本情報!$D$6)&gt;1,DAY(基本情報!$D$6)&gt;1),1,0))</f>
        <v>42</v>
      </c>
      <c r="E11" s="155">
        <f>IF(基本情報!$D$7="","",C11-YEAR(基本情報!$D$7)-IF(OR(MONTH(基本情報!$D$7)&gt;1,DAY(基本情報!$D$7)&gt;1),1,0))</f>
        <v>41</v>
      </c>
      <c r="F11" s="155">
        <f>IF(OR(基本情報!$D$8="",C11&lt;=YEAR(基本情報!$D$8)),"",MAX(0,C11-YEAR(基本情報!$D$8)-IF(OR(MONTH(基本情報!$D$8)&gt;1,DAY(基本情報!$D$8)&gt;1),1,0)))</f>
        <v>10</v>
      </c>
      <c r="G11" s="155">
        <f>IF(OR(基本情報!$D$9="",C11&lt;=YEAR(基本情報!$D$9)),"",MAX(0,C11-YEAR(基本情報!$D$9)-IF(OR(MONTH(基本情報!$D$9)&gt;1,DAY(基本情報!$D$9)&gt;1),1,0)))</f>
        <v>8</v>
      </c>
      <c r="H11" s="155">
        <f>IF(OR(基本情報!$D$10="",C11&lt;=YEAR(基本情報!$D$10)),"",MAX(0,C11-YEAR(基本情報!$D$10)-IF(OR(MONTH(基本情報!$D$10)&gt;1,DAY(基本情報!$D$10)&gt;1),1,0)))</f>
        <v>1</v>
      </c>
      <c r="I11" s="156" t="str">
        <f>IF(OR(基本情報!$D$11="",C11&lt;=YEAR(基本情報!$D$11)),"",MAX(0,C11-YEAR(基本情報!$D$11)-IF(OR(MONTH(基本情報!$D$11)&gt;1,DAY(基本情報!$D$11)&gt;1),1,0)))</f>
        <v/>
      </c>
      <c r="J11" s="156" t="str">
        <f>IF(OR(基本情報!$D$12="",C11&lt;=YEAR(基本情報!$D$12)),"",MAX(0,C11-YEAR(基本情報!$D$12)-IF(OR(MONTH(基本情報!$D$12)&gt;1,DAY(基本情報!$D$12)&gt;1),1,0)))</f>
        <v/>
      </c>
      <c r="K11" s="157" t="s">
        <v>367</v>
      </c>
      <c r="L11" s="158"/>
      <c r="M11" s="158"/>
      <c r="N11" s="158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"/>
      <c r="B12" s="154">
        <f t="shared" si="0"/>
        <v>9</v>
      </c>
      <c r="C12" s="155">
        <f>基本情報!$C$3+B12-1</f>
        <v>2030</v>
      </c>
      <c r="D12" s="155">
        <f>IF(基本情報!$D$6="","",C12-YEAR(基本情報!$D$6)-IF(OR(MONTH(基本情報!$D$6)&gt;1,DAY(基本情報!$D$6)&gt;1),1,0))</f>
        <v>43</v>
      </c>
      <c r="E12" s="155">
        <f>IF(基本情報!$D$7="","",C12-YEAR(基本情報!$D$7)-IF(OR(MONTH(基本情報!$D$7)&gt;1,DAY(基本情報!$D$7)&gt;1),1,0))</f>
        <v>42</v>
      </c>
      <c r="F12" s="155">
        <f>IF(OR(基本情報!$D$8="",C12&lt;=YEAR(基本情報!$D$8)),"",MAX(0,C12-YEAR(基本情報!$D$8)-IF(OR(MONTH(基本情報!$D$8)&gt;1,DAY(基本情報!$D$8)&gt;1),1,0)))</f>
        <v>11</v>
      </c>
      <c r="G12" s="155">
        <f>IF(OR(基本情報!$D$9="",C12&lt;=YEAR(基本情報!$D$9)),"",MAX(0,C12-YEAR(基本情報!$D$9)-IF(OR(MONTH(基本情報!$D$9)&gt;1,DAY(基本情報!$D$9)&gt;1),1,0)))</f>
        <v>9</v>
      </c>
      <c r="H12" s="155">
        <f>IF(OR(基本情報!$D$10="",C12&lt;=YEAR(基本情報!$D$10)),"",MAX(0,C12-YEAR(基本情報!$D$10)-IF(OR(MONTH(基本情報!$D$10)&gt;1,DAY(基本情報!$D$10)&gt;1),1,0)))</f>
        <v>2</v>
      </c>
      <c r="I12" s="156">
        <f>IF(OR(基本情報!$D$11="",C12&lt;=YEAR(基本情報!$D$11)),"",MAX(0,C12-YEAR(基本情報!$D$11)-IF(OR(MONTH(基本情報!$D$11)&gt;1,DAY(基本情報!$D$11)&gt;1),1,0)))</f>
        <v>0</v>
      </c>
      <c r="J12" s="156" t="str">
        <f>IF(OR(基本情報!$D$12="",C12&lt;=YEAR(基本情報!$D$12)),"",MAX(0,C12-YEAR(基本情報!$D$12)-IF(OR(MONTH(基本情報!$D$12)&gt;1,DAY(基本情報!$D$12)&gt;1),1,0)))</f>
        <v/>
      </c>
      <c r="K12" s="157" t="s">
        <v>367</v>
      </c>
      <c r="L12" s="158"/>
      <c r="M12" s="158"/>
      <c r="N12" s="15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1"/>
      <c r="B13" s="154">
        <f t="shared" si="0"/>
        <v>10</v>
      </c>
      <c r="C13" s="155">
        <f>基本情報!$C$3+B13-1</f>
        <v>2031</v>
      </c>
      <c r="D13" s="155">
        <f>IF(基本情報!$D$6="","",C13-YEAR(基本情報!$D$6)-IF(OR(MONTH(基本情報!$D$6)&gt;1,DAY(基本情報!$D$6)&gt;1),1,0))</f>
        <v>44</v>
      </c>
      <c r="E13" s="155">
        <f>IF(基本情報!$D$7="","",C13-YEAR(基本情報!$D$7)-IF(OR(MONTH(基本情報!$D$7)&gt;1,DAY(基本情報!$D$7)&gt;1),1,0))</f>
        <v>43</v>
      </c>
      <c r="F13" s="155">
        <f>IF(OR(基本情報!$D$8="",C13&lt;=YEAR(基本情報!$D$8)),"",MAX(0,C13-YEAR(基本情報!$D$8)-IF(OR(MONTH(基本情報!$D$8)&gt;1,DAY(基本情報!$D$8)&gt;1),1,0)))</f>
        <v>12</v>
      </c>
      <c r="G13" s="155">
        <f>IF(OR(基本情報!$D$9="",C13&lt;=YEAR(基本情報!$D$9)),"",MAX(0,C13-YEAR(基本情報!$D$9)-IF(OR(MONTH(基本情報!$D$9)&gt;1,DAY(基本情報!$D$9)&gt;1),1,0)))</f>
        <v>10</v>
      </c>
      <c r="H13" s="155">
        <f>IF(OR(基本情報!$D$10="",C13&lt;=YEAR(基本情報!$D$10)),"",MAX(0,C13-YEAR(基本情報!$D$10)-IF(OR(MONTH(基本情報!$D$10)&gt;1,DAY(基本情報!$D$10)&gt;1),1,0)))</f>
        <v>3</v>
      </c>
      <c r="I13" s="156">
        <f>IF(OR(基本情報!$D$11="",C13&lt;=YEAR(基本情報!$D$11)),"",MAX(0,C13-YEAR(基本情報!$D$11)-IF(OR(MONTH(基本情報!$D$11)&gt;1,DAY(基本情報!$D$11)&gt;1),1,0)))</f>
        <v>1</v>
      </c>
      <c r="J13" s="156" t="str">
        <f>IF(OR(基本情報!$D$12="",C13&lt;=YEAR(基本情報!$D$12)),"",MAX(0,C13-YEAR(基本情報!$D$12)-IF(OR(MONTH(基本情報!$D$12)&gt;1,DAY(基本情報!$D$12)&gt;1),1,0)))</f>
        <v/>
      </c>
      <c r="K13" s="157" t="s">
        <v>367</v>
      </c>
      <c r="L13" s="158"/>
      <c r="M13" s="160" t="s">
        <v>369</v>
      </c>
      <c r="N13" s="158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1"/>
      <c r="B14" s="154">
        <f t="shared" si="0"/>
        <v>11</v>
      </c>
      <c r="C14" s="155">
        <f>基本情報!$C$3+B14-1</f>
        <v>2032</v>
      </c>
      <c r="D14" s="155">
        <f>IF(基本情報!$D$6="","",C14-YEAR(基本情報!$D$6)-IF(OR(MONTH(基本情報!$D$6)&gt;1,DAY(基本情報!$D$6)&gt;1),1,0))</f>
        <v>45</v>
      </c>
      <c r="E14" s="155">
        <f>IF(基本情報!$D$7="","",C14-YEAR(基本情報!$D$7)-IF(OR(MONTH(基本情報!$D$7)&gt;1,DAY(基本情報!$D$7)&gt;1),1,0))</f>
        <v>44</v>
      </c>
      <c r="F14" s="155">
        <f>IF(OR(基本情報!$D$8="",C14&lt;=YEAR(基本情報!$D$8)),"",MAX(0,C14-YEAR(基本情報!$D$8)-IF(OR(MONTH(基本情報!$D$8)&gt;1,DAY(基本情報!$D$8)&gt;1),1,0)))</f>
        <v>13</v>
      </c>
      <c r="G14" s="155">
        <f>IF(OR(基本情報!$D$9="",C14&lt;=YEAR(基本情報!$D$9)),"",MAX(0,C14-YEAR(基本情報!$D$9)-IF(OR(MONTH(基本情報!$D$9)&gt;1,DAY(基本情報!$D$9)&gt;1),1,0)))</f>
        <v>11</v>
      </c>
      <c r="H14" s="155">
        <f>IF(OR(基本情報!$D$10="",C14&lt;=YEAR(基本情報!$D$10)),"",MAX(0,C14-YEAR(基本情報!$D$10)-IF(OR(MONTH(基本情報!$D$10)&gt;1,DAY(基本情報!$D$10)&gt;1),1,0)))</f>
        <v>4</v>
      </c>
      <c r="I14" s="156">
        <f>IF(OR(基本情報!$D$11="",C14&lt;=YEAR(基本情報!$D$11)),"",MAX(0,C14-YEAR(基本情報!$D$11)-IF(OR(MONTH(基本情報!$D$11)&gt;1,DAY(基本情報!$D$11)&gt;1),1,0)))</f>
        <v>2</v>
      </c>
      <c r="J14" s="156">
        <f>IF(OR(基本情報!$D$12="",C14&lt;=YEAR(基本情報!$D$12)),"",MAX(0,C14-YEAR(基本情報!$D$12)-IF(OR(MONTH(基本情報!$D$12)&gt;1,DAY(基本情報!$D$12)&gt;1),1,0)))</f>
        <v>0</v>
      </c>
      <c r="K14" s="157" t="s">
        <v>367</v>
      </c>
      <c r="L14" s="158"/>
      <c r="M14" s="161"/>
      <c r="N14" s="15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1"/>
      <c r="B15" s="154">
        <f t="shared" si="0"/>
        <v>12</v>
      </c>
      <c r="C15" s="155">
        <f>基本情報!$C$3+B15-1</f>
        <v>2033</v>
      </c>
      <c r="D15" s="155">
        <f>IF(基本情報!$D$6="","",C15-YEAR(基本情報!$D$6)-IF(OR(MONTH(基本情報!$D$6)&gt;1,DAY(基本情報!$D$6)&gt;1),1,0))</f>
        <v>46</v>
      </c>
      <c r="E15" s="155">
        <f>IF(基本情報!$D$7="","",C15-YEAR(基本情報!$D$7)-IF(OR(MONTH(基本情報!$D$7)&gt;1,DAY(基本情報!$D$7)&gt;1),1,0))</f>
        <v>45</v>
      </c>
      <c r="F15" s="155">
        <f>IF(OR(基本情報!$D$8="",C15&lt;=YEAR(基本情報!$D$8)),"",MAX(0,C15-YEAR(基本情報!$D$8)-IF(OR(MONTH(基本情報!$D$8)&gt;1,DAY(基本情報!$D$8)&gt;1),1,0)))</f>
        <v>14</v>
      </c>
      <c r="G15" s="155">
        <f>IF(OR(基本情報!$D$9="",C15&lt;=YEAR(基本情報!$D$9)),"",MAX(0,C15-YEAR(基本情報!$D$9)-IF(OR(MONTH(基本情報!$D$9)&gt;1,DAY(基本情報!$D$9)&gt;1),1,0)))</f>
        <v>12</v>
      </c>
      <c r="H15" s="155">
        <f>IF(OR(基本情報!$D$10="",C15&lt;=YEAR(基本情報!$D$10)),"",MAX(0,C15-YEAR(基本情報!$D$10)-IF(OR(MONTH(基本情報!$D$10)&gt;1,DAY(基本情報!$D$10)&gt;1),1,0)))</f>
        <v>5</v>
      </c>
      <c r="I15" s="156">
        <f>IF(OR(基本情報!$D$11="",C15&lt;=YEAR(基本情報!$D$11)),"",MAX(0,C15-YEAR(基本情報!$D$11)-IF(OR(MONTH(基本情報!$D$11)&gt;1,DAY(基本情報!$D$11)&gt;1),1,0)))</f>
        <v>3</v>
      </c>
      <c r="J15" s="156">
        <f>IF(OR(基本情報!$D$12="",C15&lt;=YEAR(基本情報!$D$12)),"",MAX(0,C15-YEAR(基本情報!$D$12)-IF(OR(MONTH(基本情報!$D$12)&gt;1,DAY(基本情報!$D$12)&gt;1),1,0)))</f>
        <v>1</v>
      </c>
      <c r="K15" s="157" t="s">
        <v>367</v>
      </c>
      <c r="L15" s="158"/>
      <c r="M15" s="160" t="s">
        <v>370</v>
      </c>
      <c r="N15" s="15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1"/>
      <c r="B16" s="154">
        <f t="shared" si="0"/>
        <v>13</v>
      </c>
      <c r="C16" s="155">
        <f>基本情報!$C$3+B16-1</f>
        <v>2034</v>
      </c>
      <c r="D16" s="155">
        <f>IF(基本情報!$D$6="","",C16-YEAR(基本情報!$D$6)-IF(OR(MONTH(基本情報!$D$6)&gt;1,DAY(基本情報!$D$6)&gt;1),1,0))</f>
        <v>47</v>
      </c>
      <c r="E16" s="155">
        <f>IF(基本情報!$D$7="","",C16-YEAR(基本情報!$D$7)-IF(OR(MONTH(基本情報!$D$7)&gt;1,DAY(基本情報!$D$7)&gt;1),1,0))</f>
        <v>46</v>
      </c>
      <c r="F16" s="155">
        <f>IF(OR(基本情報!$D$8="",C16&lt;=YEAR(基本情報!$D$8)),"",MAX(0,C16-YEAR(基本情報!$D$8)-IF(OR(MONTH(基本情報!$D$8)&gt;1,DAY(基本情報!$D$8)&gt;1),1,0)))</f>
        <v>15</v>
      </c>
      <c r="G16" s="155">
        <f>IF(OR(基本情報!$D$9="",C16&lt;=YEAR(基本情報!$D$9)),"",MAX(0,C16-YEAR(基本情報!$D$9)-IF(OR(MONTH(基本情報!$D$9)&gt;1,DAY(基本情報!$D$9)&gt;1),1,0)))</f>
        <v>13</v>
      </c>
      <c r="H16" s="155">
        <f>IF(OR(基本情報!$D$10="",C16&lt;=YEAR(基本情報!$D$10)),"",MAX(0,C16-YEAR(基本情報!$D$10)-IF(OR(MONTH(基本情報!$D$10)&gt;1,DAY(基本情報!$D$10)&gt;1),1,0)))</f>
        <v>6</v>
      </c>
      <c r="I16" s="156">
        <f>IF(OR(基本情報!$D$11="",C16&lt;=YEAR(基本情報!$D$11)),"",MAX(0,C16-YEAR(基本情報!$D$11)-IF(OR(MONTH(基本情報!$D$11)&gt;1,DAY(基本情報!$D$11)&gt;1),1,0)))</f>
        <v>4</v>
      </c>
      <c r="J16" s="156">
        <f>IF(OR(基本情報!$D$12="",C16&lt;=YEAR(基本情報!$D$12)),"",MAX(0,C16-YEAR(基本情報!$D$12)-IF(OR(MONTH(基本情報!$D$12)&gt;1,DAY(基本情報!$D$12)&gt;1),1,0)))</f>
        <v>2</v>
      </c>
      <c r="K16" s="157" t="s">
        <v>367</v>
      </c>
      <c r="L16" s="158"/>
      <c r="M16" s="160" t="s">
        <v>371</v>
      </c>
      <c r="N16" s="15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1"/>
      <c r="B17" s="154">
        <f t="shared" si="0"/>
        <v>14</v>
      </c>
      <c r="C17" s="155">
        <f>基本情報!$C$3+B17-1</f>
        <v>2035</v>
      </c>
      <c r="D17" s="155">
        <f>IF(基本情報!$D$6="","",C17-YEAR(基本情報!$D$6)-IF(OR(MONTH(基本情報!$D$6)&gt;1,DAY(基本情報!$D$6)&gt;1),1,0))</f>
        <v>48</v>
      </c>
      <c r="E17" s="155">
        <f>IF(基本情報!$D$7="","",C17-YEAR(基本情報!$D$7)-IF(OR(MONTH(基本情報!$D$7)&gt;1,DAY(基本情報!$D$7)&gt;1),1,0))</f>
        <v>47</v>
      </c>
      <c r="F17" s="155">
        <f>IF(OR(基本情報!$D$8="",C17&lt;=YEAR(基本情報!$D$8)),"",MAX(0,C17-YEAR(基本情報!$D$8)-IF(OR(MONTH(基本情報!$D$8)&gt;1,DAY(基本情報!$D$8)&gt;1),1,0)))</f>
        <v>16</v>
      </c>
      <c r="G17" s="155">
        <f>IF(OR(基本情報!$D$9="",C17&lt;=YEAR(基本情報!$D$9)),"",MAX(0,C17-YEAR(基本情報!$D$9)-IF(OR(MONTH(基本情報!$D$9)&gt;1,DAY(基本情報!$D$9)&gt;1),1,0)))</f>
        <v>14</v>
      </c>
      <c r="H17" s="155">
        <f>IF(OR(基本情報!$D$10="",C17&lt;=YEAR(基本情報!$D$10)),"",MAX(0,C17-YEAR(基本情報!$D$10)-IF(OR(MONTH(基本情報!$D$10)&gt;1,DAY(基本情報!$D$10)&gt;1),1,0)))</f>
        <v>7</v>
      </c>
      <c r="I17" s="156">
        <f>IF(OR(基本情報!$D$11="",C17&lt;=YEAR(基本情報!$D$11)),"",MAX(0,C17-YEAR(基本情報!$D$11)-IF(OR(MONTH(基本情報!$D$11)&gt;1,DAY(基本情報!$D$11)&gt;1),1,0)))</f>
        <v>5</v>
      </c>
      <c r="J17" s="156">
        <f>IF(OR(基本情報!$D$12="",C17&lt;=YEAR(基本情報!$D$12)),"",MAX(0,C17-YEAR(基本情報!$D$12)-IF(OR(MONTH(基本情報!$D$12)&gt;1,DAY(基本情報!$D$12)&gt;1),1,0)))</f>
        <v>3</v>
      </c>
      <c r="K17" s="157" t="s">
        <v>367</v>
      </c>
      <c r="L17" s="158"/>
      <c r="M17" s="160" t="s">
        <v>372</v>
      </c>
      <c r="N17" s="15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"/>
      <c r="B18" s="154">
        <f t="shared" si="0"/>
        <v>15</v>
      </c>
      <c r="C18" s="155">
        <f>基本情報!$C$3+B18-1</f>
        <v>2036</v>
      </c>
      <c r="D18" s="155">
        <f>IF(基本情報!$D$6="","",C18-YEAR(基本情報!$D$6)-IF(OR(MONTH(基本情報!$D$6)&gt;1,DAY(基本情報!$D$6)&gt;1),1,0))</f>
        <v>49</v>
      </c>
      <c r="E18" s="155">
        <f>IF(基本情報!$D$7="","",C18-YEAR(基本情報!$D$7)-IF(OR(MONTH(基本情報!$D$7)&gt;1,DAY(基本情報!$D$7)&gt;1),1,0))</f>
        <v>48</v>
      </c>
      <c r="F18" s="155">
        <f>IF(OR(基本情報!$D$8="",C18&lt;=YEAR(基本情報!$D$8)),"",MAX(0,C18-YEAR(基本情報!$D$8)-IF(OR(MONTH(基本情報!$D$8)&gt;1,DAY(基本情報!$D$8)&gt;1),1,0)))</f>
        <v>17</v>
      </c>
      <c r="G18" s="155">
        <f>IF(OR(基本情報!$D$9="",C18&lt;=YEAR(基本情報!$D$9)),"",MAX(0,C18-YEAR(基本情報!$D$9)-IF(OR(MONTH(基本情報!$D$9)&gt;1,DAY(基本情報!$D$9)&gt;1),1,0)))</f>
        <v>15</v>
      </c>
      <c r="H18" s="155">
        <f>IF(OR(基本情報!$D$10="",C18&lt;=YEAR(基本情報!$D$10)),"",MAX(0,C18-YEAR(基本情報!$D$10)-IF(OR(MONTH(基本情報!$D$10)&gt;1,DAY(基本情報!$D$10)&gt;1),1,0)))</f>
        <v>8</v>
      </c>
      <c r="I18" s="156">
        <f>IF(OR(基本情報!$D$11="",C18&lt;=YEAR(基本情報!$D$11)),"",MAX(0,C18-YEAR(基本情報!$D$11)-IF(OR(MONTH(基本情報!$D$11)&gt;1,DAY(基本情報!$D$11)&gt;1),1,0)))</f>
        <v>6</v>
      </c>
      <c r="J18" s="156">
        <f>IF(OR(基本情報!$D$12="",C18&lt;=YEAR(基本情報!$D$12)),"",MAX(0,C18-YEAR(基本情報!$D$12)-IF(OR(MONTH(基本情報!$D$12)&gt;1,DAY(基本情報!$D$12)&gt;1),1,0)))</f>
        <v>4</v>
      </c>
      <c r="K18" s="157" t="s">
        <v>367</v>
      </c>
      <c r="L18" s="158"/>
      <c r="M18" s="160" t="s">
        <v>373</v>
      </c>
      <c r="N18" s="15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"/>
      <c r="B19" s="154">
        <f t="shared" si="0"/>
        <v>16</v>
      </c>
      <c r="C19" s="155">
        <f>基本情報!$C$3+B19-1</f>
        <v>2037</v>
      </c>
      <c r="D19" s="155">
        <f>IF(基本情報!$D$6="","",C19-YEAR(基本情報!$D$6)-IF(OR(MONTH(基本情報!$D$6)&gt;1,DAY(基本情報!$D$6)&gt;1),1,0))</f>
        <v>50</v>
      </c>
      <c r="E19" s="155">
        <f>IF(基本情報!$D$7="","",C19-YEAR(基本情報!$D$7)-IF(OR(MONTH(基本情報!$D$7)&gt;1,DAY(基本情報!$D$7)&gt;1),1,0))</f>
        <v>49</v>
      </c>
      <c r="F19" s="155">
        <f>IF(OR(基本情報!$D$8="",C19&lt;=YEAR(基本情報!$D$8)),"",MAX(0,C19-YEAR(基本情報!$D$8)-IF(OR(MONTH(基本情報!$D$8)&gt;1,DAY(基本情報!$D$8)&gt;1),1,0)))</f>
        <v>18</v>
      </c>
      <c r="G19" s="155">
        <f>IF(OR(基本情報!$D$9="",C19&lt;=YEAR(基本情報!$D$9)),"",MAX(0,C19-YEAR(基本情報!$D$9)-IF(OR(MONTH(基本情報!$D$9)&gt;1,DAY(基本情報!$D$9)&gt;1),1,0)))</f>
        <v>16</v>
      </c>
      <c r="H19" s="155">
        <f>IF(OR(基本情報!$D$10="",C19&lt;=YEAR(基本情報!$D$10)),"",MAX(0,C19-YEAR(基本情報!$D$10)-IF(OR(MONTH(基本情報!$D$10)&gt;1,DAY(基本情報!$D$10)&gt;1),1,0)))</f>
        <v>9</v>
      </c>
      <c r="I19" s="156">
        <f>IF(OR(基本情報!$D$11="",C19&lt;=YEAR(基本情報!$D$11)),"",MAX(0,C19-YEAR(基本情報!$D$11)-IF(OR(MONTH(基本情報!$D$11)&gt;1,DAY(基本情報!$D$11)&gt;1),1,0)))</f>
        <v>7</v>
      </c>
      <c r="J19" s="156">
        <f>IF(OR(基本情報!$D$12="",C19&lt;=YEAR(基本情報!$D$12)),"",MAX(0,C19-YEAR(基本情報!$D$12)-IF(OR(MONTH(基本情報!$D$12)&gt;1,DAY(基本情報!$D$12)&gt;1),1,0)))</f>
        <v>5</v>
      </c>
      <c r="K19" s="157" t="s">
        <v>374</v>
      </c>
      <c r="L19" s="158"/>
      <c r="M19" s="160" t="s">
        <v>375</v>
      </c>
      <c r="N19" s="15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"/>
      <c r="B20" s="154">
        <f t="shared" si="0"/>
        <v>17</v>
      </c>
      <c r="C20" s="155">
        <f>基本情報!$C$3+B20-1</f>
        <v>2038</v>
      </c>
      <c r="D20" s="155">
        <f>IF(基本情報!$D$6="","",C20-YEAR(基本情報!$D$6)-IF(OR(MONTH(基本情報!$D$6)&gt;1,DAY(基本情報!$D$6)&gt;1),1,0))</f>
        <v>51</v>
      </c>
      <c r="E20" s="155">
        <f>IF(基本情報!$D$7="","",C20-YEAR(基本情報!$D$7)-IF(OR(MONTH(基本情報!$D$7)&gt;1,DAY(基本情報!$D$7)&gt;1),1,0))</f>
        <v>50</v>
      </c>
      <c r="F20" s="155">
        <f>IF(OR(基本情報!$D$8="",C20&lt;=YEAR(基本情報!$D$8)),"",MAX(0,C20-YEAR(基本情報!$D$8)-IF(OR(MONTH(基本情報!$D$8)&gt;1,DAY(基本情報!$D$8)&gt;1),1,0)))</f>
        <v>19</v>
      </c>
      <c r="G20" s="155">
        <f>IF(OR(基本情報!$D$9="",C20&lt;=YEAR(基本情報!$D$9)),"",MAX(0,C20-YEAR(基本情報!$D$9)-IF(OR(MONTH(基本情報!$D$9)&gt;1,DAY(基本情報!$D$9)&gt;1),1,0)))</f>
        <v>17</v>
      </c>
      <c r="H20" s="155">
        <f>IF(OR(基本情報!$D$10="",C20&lt;=YEAR(基本情報!$D$10)),"",MAX(0,C20-YEAR(基本情報!$D$10)-IF(OR(MONTH(基本情報!$D$10)&gt;1,DAY(基本情報!$D$10)&gt;1),1,0)))</f>
        <v>10</v>
      </c>
      <c r="I20" s="156">
        <f>IF(OR(基本情報!$D$11="",C20&lt;=YEAR(基本情報!$D$11)),"",MAX(0,C20-YEAR(基本情報!$D$11)-IF(OR(MONTH(基本情報!$D$11)&gt;1,DAY(基本情報!$D$11)&gt;1),1,0)))</f>
        <v>8</v>
      </c>
      <c r="J20" s="156">
        <f>IF(OR(基本情報!$D$12="",C20&lt;=YEAR(基本情報!$D$12)),"",MAX(0,C20-YEAR(基本情報!$D$12)-IF(OR(MONTH(基本情報!$D$12)&gt;1,DAY(基本情報!$D$12)&gt;1),1,0)))</f>
        <v>6</v>
      </c>
      <c r="K20" s="157" t="s">
        <v>374</v>
      </c>
      <c r="L20" s="158"/>
      <c r="M20" s="160" t="s">
        <v>376</v>
      </c>
      <c r="N20" s="158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"/>
      <c r="B21" s="154">
        <f t="shared" si="0"/>
        <v>18</v>
      </c>
      <c r="C21" s="155">
        <f>基本情報!$C$3+B21-1</f>
        <v>2039</v>
      </c>
      <c r="D21" s="155">
        <f>IF(基本情報!$D$6="","",C21-YEAR(基本情報!$D$6)-IF(OR(MONTH(基本情報!$D$6)&gt;1,DAY(基本情報!$D$6)&gt;1),1,0))</f>
        <v>52</v>
      </c>
      <c r="E21" s="155">
        <f>IF(基本情報!$D$7="","",C21-YEAR(基本情報!$D$7)-IF(OR(MONTH(基本情報!$D$7)&gt;1,DAY(基本情報!$D$7)&gt;1),1,0))</f>
        <v>51</v>
      </c>
      <c r="F21" s="155">
        <f>IF(OR(基本情報!$D$8="",C21&lt;=YEAR(基本情報!$D$8)),"",MAX(0,C21-YEAR(基本情報!$D$8)-IF(OR(MONTH(基本情報!$D$8)&gt;1,DAY(基本情報!$D$8)&gt;1),1,0)))</f>
        <v>20</v>
      </c>
      <c r="G21" s="155">
        <f>IF(OR(基本情報!$D$9="",C21&lt;=YEAR(基本情報!$D$9)),"",MAX(0,C21-YEAR(基本情報!$D$9)-IF(OR(MONTH(基本情報!$D$9)&gt;1,DAY(基本情報!$D$9)&gt;1),1,0)))</f>
        <v>18</v>
      </c>
      <c r="H21" s="155">
        <f>IF(OR(基本情報!$D$10="",C21&lt;=YEAR(基本情報!$D$10)),"",MAX(0,C21-YEAR(基本情報!$D$10)-IF(OR(MONTH(基本情報!$D$10)&gt;1,DAY(基本情報!$D$10)&gt;1),1,0)))</f>
        <v>11</v>
      </c>
      <c r="I21" s="156">
        <f>IF(OR(基本情報!$D$11="",C21&lt;=YEAR(基本情報!$D$11)),"",MAX(0,C21-YEAR(基本情報!$D$11)-IF(OR(MONTH(基本情報!$D$11)&gt;1,DAY(基本情報!$D$11)&gt;1),1,0)))</f>
        <v>9</v>
      </c>
      <c r="J21" s="156">
        <f>IF(OR(基本情報!$D$12="",C21&lt;=YEAR(基本情報!$D$12)),"",MAX(0,C21-YEAR(基本情報!$D$12)-IF(OR(MONTH(基本情報!$D$12)&gt;1,DAY(基本情報!$D$12)&gt;1),1,0)))</f>
        <v>7</v>
      </c>
      <c r="K21" s="157" t="s">
        <v>374</v>
      </c>
      <c r="L21" s="158"/>
      <c r="M21" s="160" t="s">
        <v>377</v>
      </c>
      <c r="N21" s="158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"/>
      <c r="B22" s="154">
        <f t="shared" si="0"/>
        <v>19</v>
      </c>
      <c r="C22" s="155">
        <f>基本情報!$C$3+B22-1</f>
        <v>2040</v>
      </c>
      <c r="D22" s="155">
        <f>IF(基本情報!$D$6="","",C22-YEAR(基本情報!$D$6)-IF(OR(MONTH(基本情報!$D$6)&gt;1,DAY(基本情報!$D$6)&gt;1),1,0))</f>
        <v>53</v>
      </c>
      <c r="E22" s="155">
        <f>IF(基本情報!$D$7="","",C22-YEAR(基本情報!$D$7)-IF(OR(MONTH(基本情報!$D$7)&gt;1,DAY(基本情報!$D$7)&gt;1),1,0))</f>
        <v>52</v>
      </c>
      <c r="F22" s="155">
        <f>IF(OR(基本情報!$D$8="",C22&lt;=YEAR(基本情報!$D$8)),"",MAX(0,C22-YEAR(基本情報!$D$8)-IF(OR(MONTH(基本情報!$D$8)&gt;1,DAY(基本情報!$D$8)&gt;1),1,0)))</f>
        <v>21</v>
      </c>
      <c r="G22" s="155">
        <f>IF(OR(基本情報!$D$9="",C22&lt;=YEAR(基本情報!$D$9)),"",MAX(0,C22-YEAR(基本情報!$D$9)-IF(OR(MONTH(基本情報!$D$9)&gt;1,DAY(基本情報!$D$9)&gt;1),1,0)))</f>
        <v>19</v>
      </c>
      <c r="H22" s="155">
        <f>IF(OR(基本情報!$D$10="",C22&lt;=YEAR(基本情報!$D$10)),"",MAX(0,C22-YEAR(基本情報!$D$10)-IF(OR(MONTH(基本情報!$D$10)&gt;1,DAY(基本情報!$D$10)&gt;1),1,0)))</f>
        <v>12</v>
      </c>
      <c r="I22" s="156">
        <f>IF(OR(基本情報!$D$11="",C22&lt;=YEAR(基本情報!$D$11)),"",MAX(0,C22-YEAR(基本情報!$D$11)-IF(OR(MONTH(基本情報!$D$11)&gt;1,DAY(基本情報!$D$11)&gt;1),1,0)))</f>
        <v>10</v>
      </c>
      <c r="J22" s="156">
        <f>IF(OR(基本情報!$D$12="",C22&lt;=YEAR(基本情報!$D$12)),"",MAX(0,C22-YEAR(基本情報!$D$12)-IF(OR(MONTH(基本情報!$D$12)&gt;1,DAY(基本情報!$D$12)&gt;1),1,0)))</f>
        <v>8</v>
      </c>
      <c r="K22" s="157" t="s">
        <v>374</v>
      </c>
      <c r="L22" s="158"/>
      <c r="M22" s="160" t="s">
        <v>378</v>
      </c>
      <c r="N22" s="158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1"/>
      <c r="B23" s="154">
        <f t="shared" si="0"/>
        <v>20</v>
      </c>
      <c r="C23" s="155">
        <f>基本情報!$C$3+B23-1</f>
        <v>2041</v>
      </c>
      <c r="D23" s="155">
        <f>IF(基本情報!$D$6="","",C23-YEAR(基本情報!$D$6)-IF(OR(MONTH(基本情報!$D$6)&gt;1,DAY(基本情報!$D$6)&gt;1),1,0))</f>
        <v>54</v>
      </c>
      <c r="E23" s="155">
        <f>IF(基本情報!$D$7="","",C23-YEAR(基本情報!$D$7)-IF(OR(MONTH(基本情報!$D$7)&gt;1,DAY(基本情報!$D$7)&gt;1),1,0))</f>
        <v>53</v>
      </c>
      <c r="F23" s="155">
        <f>IF(OR(基本情報!$D$8="",C23&lt;=YEAR(基本情報!$D$8)),"",MAX(0,C23-YEAR(基本情報!$D$8)-IF(OR(MONTH(基本情報!$D$8)&gt;1,DAY(基本情報!$D$8)&gt;1),1,0)))</f>
        <v>22</v>
      </c>
      <c r="G23" s="155">
        <f>IF(OR(基本情報!$D$9="",C23&lt;=YEAR(基本情報!$D$9)),"",MAX(0,C23-YEAR(基本情報!$D$9)-IF(OR(MONTH(基本情報!$D$9)&gt;1,DAY(基本情報!$D$9)&gt;1),1,0)))</f>
        <v>20</v>
      </c>
      <c r="H23" s="155">
        <f>IF(OR(基本情報!$D$10="",C23&lt;=YEAR(基本情報!$D$10)),"",MAX(0,C23-YEAR(基本情報!$D$10)-IF(OR(MONTH(基本情報!$D$10)&gt;1,DAY(基本情報!$D$10)&gt;1),1,0)))</f>
        <v>13</v>
      </c>
      <c r="I23" s="156">
        <f>IF(OR(基本情報!$D$11="",C23&lt;=YEAR(基本情報!$D$11)),"",MAX(0,C23-YEAR(基本情報!$D$11)-IF(OR(MONTH(基本情報!$D$11)&gt;1,DAY(基本情報!$D$11)&gt;1),1,0)))</f>
        <v>11</v>
      </c>
      <c r="J23" s="156">
        <f>IF(OR(基本情報!$D$12="",C23&lt;=YEAR(基本情報!$D$12)),"",MAX(0,C23-YEAR(基本情報!$D$12)-IF(OR(MONTH(基本情報!$D$12)&gt;1,DAY(基本情報!$D$12)&gt;1),1,0)))</f>
        <v>9</v>
      </c>
      <c r="K23" s="157" t="s">
        <v>374</v>
      </c>
      <c r="L23" s="158"/>
      <c r="M23" s="159" t="s">
        <v>379</v>
      </c>
      <c r="N23" s="15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1"/>
      <c r="B24" s="154">
        <f t="shared" si="0"/>
        <v>21</v>
      </c>
      <c r="C24" s="155">
        <f>基本情報!$C$3+B24-1</f>
        <v>2042</v>
      </c>
      <c r="D24" s="155">
        <f>IF(基本情報!$D$6="","",C24-YEAR(基本情報!$D$6)-IF(OR(MONTH(基本情報!$D$6)&gt;1,DAY(基本情報!$D$6)&gt;1),1,0))</f>
        <v>55</v>
      </c>
      <c r="E24" s="155">
        <f>IF(基本情報!$D$7="","",C24-YEAR(基本情報!$D$7)-IF(OR(MONTH(基本情報!$D$7)&gt;1,DAY(基本情報!$D$7)&gt;1),1,0))</f>
        <v>54</v>
      </c>
      <c r="F24" s="155">
        <f>IF(OR(基本情報!$D$8="",C24&lt;=YEAR(基本情報!$D$8)),"",MAX(0,C24-YEAR(基本情報!$D$8)-IF(OR(MONTH(基本情報!$D$8)&gt;1,DAY(基本情報!$D$8)&gt;1),1,0)))</f>
        <v>23</v>
      </c>
      <c r="G24" s="155">
        <f>IF(OR(基本情報!$D$9="",C24&lt;=YEAR(基本情報!$D$9)),"",MAX(0,C24-YEAR(基本情報!$D$9)-IF(OR(MONTH(基本情報!$D$9)&gt;1,DAY(基本情報!$D$9)&gt;1),1,0)))</f>
        <v>21</v>
      </c>
      <c r="H24" s="155">
        <f>IF(OR(基本情報!$D$10="",C24&lt;=YEAR(基本情報!$D$10)),"",MAX(0,C24-YEAR(基本情報!$D$10)-IF(OR(MONTH(基本情報!$D$10)&gt;1,DAY(基本情報!$D$10)&gt;1),1,0)))</f>
        <v>14</v>
      </c>
      <c r="I24" s="156">
        <f>IF(OR(基本情報!$D$11="",C24&lt;=YEAR(基本情報!$D$11)),"",MAX(0,C24-YEAR(基本情報!$D$11)-IF(OR(MONTH(基本情報!$D$11)&gt;1,DAY(基本情報!$D$11)&gt;1),1,0)))</f>
        <v>12</v>
      </c>
      <c r="J24" s="156">
        <f>IF(OR(基本情報!$D$12="",C24&lt;=YEAR(基本情報!$D$12)),"",MAX(0,C24-YEAR(基本情報!$D$12)-IF(OR(MONTH(基本情報!$D$12)&gt;1,DAY(基本情報!$D$12)&gt;1),1,0)))</f>
        <v>10</v>
      </c>
      <c r="K24" s="157" t="s">
        <v>374</v>
      </c>
      <c r="L24" s="158"/>
      <c r="M24" s="159" t="s">
        <v>380</v>
      </c>
      <c r="N24" s="15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1"/>
      <c r="B25" s="154">
        <f t="shared" si="0"/>
        <v>22</v>
      </c>
      <c r="C25" s="155">
        <f>基本情報!$C$3+B25-1</f>
        <v>2043</v>
      </c>
      <c r="D25" s="155">
        <f>IF(基本情報!$D$6="","",C25-YEAR(基本情報!$D$6)-IF(OR(MONTH(基本情報!$D$6)&gt;1,DAY(基本情報!$D$6)&gt;1),1,0))</f>
        <v>56</v>
      </c>
      <c r="E25" s="155">
        <f>IF(基本情報!$D$7="","",C25-YEAR(基本情報!$D$7)-IF(OR(MONTH(基本情報!$D$7)&gt;1,DAY(基本情報!$D$7)&gt;1),1,0))</f>
        <v>55</v>
      </c>
      <c r="F25" s="155">
        <f>IF(OR(基本情報!$D$8="",C25&lt;=YEAR(基本情報!$D$8)),"",MAX(0,C25-YEAR(基本情報!$D$8)-IF(OR(MONTH(基本情報!$D$8)&gt;1,DAY(基本情報!$D$8)&gt;1),1,0)))</f>
        <v>24</v>
      </c>
      <c r="G25" s="155">
        <f>IF(OR(基本情報!$D$9="",C25&lt;=YEAR(基本情報!$D$9)),"",MAX(0,C25-YEAR(基本情報!$D$9)-IF(OR(MONTH(基本情報!$D$9)&gt;1,DAY(基本情報!$D$9)&gt;1),1,0)))</f>
        <v>22</v>
      </c>
      <c r="H25" s="155">
        <f>IF(OR(基本情報!$D$10="",C25&lt;=YEAR(基本情報!$D$10)),"",MAX(0,C25-YEAR(基本情報!$D$10)-IF(OR(MONTH(基本情報!$D$10)&gt;1,DAY(基本情報!$D$10)&gt;1),1,0)))</f>
        <v>15</v>
      </c>
      <c r="I25" s="156">
        <f>IF(OR(基本情報!$D$11="",C25&lt;=YEAR(基本情報!$D$11)),"",MAX(0,C25-YEAR(基本情報!$D$11)-IF(OR(MONTH(基本情報!$D$11)&gt;1,DAY(基本情報!$D$11)&gt;1),1,0)))</f>
        <v>13</v>
      </c>
      <c r="J25" s="156">
        <f>IF(OR(基本情報!$D$12="",C25&lt;=YEAR(基本情報!$D$12)),"",MAX(0,C25-YEAR(基本情報!$D$12)-IF(OR(MONTH(基本情報!$D$12)&gt;1,DAY(基本情報!$D$12)&gt;1),1,0)))</f>
        <v>11</v>
      </c>
      <c r="K25" s="157" t="s">
        <v>374</v>
      </c>
      <c r="L25" s="158"/>
      <c r="M25" s="159" t="s">
        <v>381</v>
      </c>
      <c r="N25" s="15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1"/>
      <c r="B26" s="154">
        <f t="shared" si="0"/>
        <v>23</v>
      </c>
      <c r="C26" s="155">
        <f>基本情報!$C$3+B26-1</f>
        <v>2044</v>
      </c>
      <c r="D26" s="155">
        <f>IF(基本情報!$D$6="","",C26-YEAR(基本情報!$D$6)-IF(OR(MONTH(基本情報!$D$6)&gt;1,DAY(基本情報!$D$6)&gt;1),1,0))</f>
        <v>57</v>
      </c>
      <c r="E26" s="155">
        <f>IF(基本情報!$D$7="","",C26-YEAR(基本情報!$D$7)-IF(OR(MONTH(基本情報!$D$7)&gt;1,DAY(基本情報!$D$7)&gt;1),1,0))</f>
        <v>56</v>
      </c>
      <c r="F26" s="155">
        <f>IF(OR(基本情報!$D$8="",C26&lt;=YEAR(基本情報!$D$8)),"",MAX(0,C26-YEAR(基本情報!$D$8)-IF(OR(MONTH(基本情報!$D$8)&gt;1,DAY(基本情報!$D$8)&gt;1),1,0)))</f>
        <v>25</v>
      </c>
      <c r="G26" s="155">
        <f>IF(OR(基本情報!$D$9="",C26&lt;=YEAR(基本情報!$D$9)),"",MAX(0,C26-YEAR(基本情報!$D$9)-IF(OR(MONTH(基本情報!$D$9)&gt;1,DAY(基本情報!$D$9)&gt;1),1,0)))</f>
        <v>23</v>
      </c>
      <c r="H26" s="155">
        <f>IF(OR(基本情報!$D$10="",C26&lt;=YEAR(基本情報!$D$10)),"",MAX(0,C26-YEAR(基本情報!$D$10)-IF(OR(MONTH(基本情報!$D$10)&gt;1,DAY(基本情報!$D$10)&gt;1),1,0)))</f>
        <v>16</v>
      </c>
      <c r="I26" s="156">
        <f>IF(OR(基本情報!$D$11="",C26&lt;=YEAR(基本情報!$D$11)),"",MAX(0,C26-YEAR(基本情報!$D$11)-IF(OR(MONTH(基本情報!$D$11)&gt;1,DAY(基本情報!$D$11)&gt;1),1,0)))</f>
        <v>14</v>
      </c>
      <c r="J26" s="156">
        <f>IF(OR(基本情報!$D$12="",C26&lt;=YEAR(基本情報!$D$12)),"",MAX(0,C26-YEAR(基本情報!$D$12)-IF(OR(MONTH(基本情報!$D$12)&gt;1,DAY(基本情報!$D$12)&gt;1),1,0)))</f>
        <v>12</v>
      </c>
      <c r="K26" s="157" t="s">
        <v>374</v>
      </c>
      <c r="L26" s="158"/>
      <c r="M26" s="159" t="s">
        <v>382</v>
      </c>
      <c r="N26" s="158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1"/>
      <c r="B27" s="154">
        <f t="shared" si="0"/>
        <v>24</v>
      </c>
      <c r="C27" s="155">
        <f>基本情報!$C$3+B27-1</f>
        <v>2045</v>
      </c>
      <c r="D27" s="155">
        <f>IF(基本情報!$D$6="","",C27-YEAR(基本情報!$D$6)-IF(OR(MONTH(基本情報!$D$6)&gt;1,DAY(基本情報!$D$6)&gt;1),1,0))</f>
        <v>58</v>
      </c>
      <c r="E27" s="155">
        <f>IF(基本情報!$D$7="","",C27-YEAR(基本情報!$D$7)-IF(OR(MONTH(基本情報!$D$7)&gt;1,DAY(基本情報!$D$7)&gt;1),1,0))</f>
        <v>57</v>
      </c>
      <c r="F27" s="155">
        <f>IF(OR(基本情報!$D$8="",C27&lt;=YEAR(基本情報!$D$8)),"",MAX(0,C27-YEAR(基本情報!$D$8)-IF(OR(MONTH(基本情報!$D$8)&gt;1,DAY(基本情報!$D$8)&gt;1),1,0)))</f>
        <v>26</v>
      </c>
      <c r="G27" s="155">
        <f>IF(OR(基本情報!$D$9="",C27&lt;=YEAR(基本情報!$D$9)),"",MAX(0,C27-YEAR(基本情報!$D$9)-IF(OR(MONTH(基本情報!$D$9)&gt;1,DAY(基本情報!$D$9)&gt;1),1,0)))</f>
        <v>24</v>
      </c>
      <c r="H27" s="155">
        <f>IF(OR(基本情報!$D$10="",C27&lt;=YEAR(基本情報!$D$10)),"",MAX(0,C27-YEAR(基本情報!$D$10)-IF(OR(MONTH(基本情報!$D$10)&gt;1,DAY(基本情報!$D$10)&gt;1),1,0)))</f>
        <v>17</v>
      </c>
      <c r="I27" s="156">
        <f>IF(OR(基本情報!$D$11="",C27&lt;=YEAR(基本情報!$D$11)),"",MAX(0,C27-YEAR(基本情報!$D$11)-IF(OR(MONTH(基本情報!$D$11)&gt;1,DAY(基本情報!$D$11)&gt;1),1,0)))</f>
        <v>15</v>
      </c>
      <c r="J27" s="156">
        <f>IF(OR(基本情報!$D$12="",C27&lt;=YEAR(基本情報!$D$12)),"",MAX(0,C27-YEAR(基本情報!$D$12)-IF(OR(MONTH(基本情報!$D$12)&gt;1,DAY(基本情報!$D$12)&gt;1),1,0)))</f>
        <v>13</v>
      </c>
      <c r="K27" s="157" t="s">
        <v>374</v>
      </c>
      <c r="L27" s="158"/>
      <c r="M27" s="159" t="s">
        <v>383</v>
      </c>
      <c r="N27" s="158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154">
        <f t="shared" si="0"/>
        <v>25</v>
      </c>
      <c r="C28" s="155">
        <f>基本情報!$C$3+B28-1</f>
        <v>2046</v>
      </c>
      <c r="D28" s="155">
        <f>IF(基本情報!$D$6="","",C28-YEAR(基本情報!$D$6)-IF(OR(MONTH(基本情報!$D$6)&gt;1,DAY(基本情報!$D$6)&gt;1),1,0))</f>
        <v>59</v>
      </c>
      <c r="E28" s="155">
        <f>IF(基本情報!$D$7="","",C28-YEAR(基本情報!$D$7)-IF(OR(MONTH(基本情報!$D$7)&gt;1,DAY(基本情報!$D$7)&gt;1),1,0))</f>
        <v>58</v>
      </c>
      <c r="F28" s="155">
        <f>IF(OR(基本情報!$D$8="",C28&lt;=YEAR(基本情報!$D$8)),"",MAX(0,C28-YEAR(基本情報!$D$8)-IF(OR(MONTH(基本情報!$D$8)&gt;1,DAY(基本情報!$D$8)&gt;1),1,0)))</f>
        <v>27</v>
      </c>
      <c r="G28" s="155">
        <f>IF(OR(基本情報!$D$9="",C28&lt;=YEAR(基本情報!$D$9)),"",MAX(0,C28-YEAR(基本情報!$D$9)-IF(OR(MONTH(基本情報!$D$9)&gt;1,DAY(基本情報!$D$9)&gt;1),1,0)))</f>
        <v>25</v>
      </c>
      <c r="H28" s="155">
        <f>IF(OR(基本情報!$D$10="",C28&lt;=YEAR(基本情報!$D$10)),"",MAX(0,C28-YEAR(基本情報!$D$10)-IF(OR(MONTH(基本情報!$D$10)&gt;1,DAY(基本情報!$D$10)&gt;1),1,0)))</f>
        <v>18</v>
      </c>
      <c r="I28" s="156">
        <f>IF(OR(基本情報!$D$11="",C28&lt;=YEAR(基本情報!$D$11)),"",MAX(0,C28-YEAR(基本情報!$D$11)-IF(OR(MONTH(基本情報!$D$11)&gt;1,DAY(基本情報!$D$11)&gt;1),1,0)))</f>
        <v>16</v>
      </c>
      <c r="J28" s="156">
        <f>IF(OR(基本情報!$D$12="",C28&lt;=YEAR(基本情報!$D$12)),"",MAX(0,C28-YEAR(基本情報!$D$12)-IF(OR(MONTH(基本情報!$D$12)&gt;1,DAY(基本情報!$D$12)&gt;1),1,0)))</f>
        <v>14</v>
      </c>
      <c r="K28" s="157" t="s">
        <v>374</v>
      </c>
      <c r="L28" s="158"/>
      <c r="M28" s="159" t="s">
        <v>384</v>
      </c>
      <c r="N28" s="158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/>
      <c r="B29" s="154">
        <f t="shared" si="0"/>
        <v>26</v>
      </c>
      <c r="C29" s="155">
        <f>基本情報!$C$3+B29-1</f>
        <v>2047</v>
      </c>
      <c r="D29" s="155">
        <f>IF(基本情報!$D$6="","",C29-YEAR(基本情報!$D$6)-IF(OR(MONTH(基本情報!$D$6)&gt;1,DAY(基本情報!$D$6)&gt;1),1,0))</f>
        <v>60</v>
      </c>
      <c r="E29" s="155">
        <f>IF(基本情報!$D$7="","",C29-YEAR(基本情報!$D$7)-IF(OR(MONTH(基本情報!$D$7)&gt;1,DAY(基本情報!$D$7)&gt;1),1,0))</f>
        <v>59</v>
      </c>
      <c r="F29" s="155">
        <f>IF(OR(基本情報!$D$8="",C29&lt;=YEAR(基本情報!$D$8)),"",MAX(0,C29-YEAR(基本情報!$D$8)-IF(OR(MONTH(基本情報!$D$8)&gt;1,DAY(基本情報!$D$8)&gt;1),1,0)))</f>
        <v>28</v>
      </c>
      <c r="G29" s="155">
        <f>IF(OR(基本情報!$D$9="",C29&lt;=YEAR(基本情報!$D$9)),"",MAX(0,C29-YEAR(基本情報!$D$9)-IF(OR(MONTH(基本情報!$D$9)&gt;1,DAY(基本情報!$D$9)&gt;1),1,0)))</f>
        <v>26</v>
      </c>
      <c r="H29" s="155">
        <f>IF(OR(基本情報!$D$10="",C29&lt;=YEAR(基本情報!$D$10)),"",MAX(0,C29-YEAR(基本情報!$D$10)-IF(OR(MONTH(基本情報!$D$10)&gt;1,DAY(基本情報!$D$10)&gt;1),1,0)))</f>
        <v>19</v>
      </c>
      <c r="I29" s="156">
        <f>IF(OR(基本情報!$D$11="",C29&lt;=YEAR(基本情報!$D$11)),"",MAX(0,C29-YEAR(基本情報!$D$11)-IF(OR(MONTH(基本情報!$D$11)&gt;1,DAY(基本情報!$D$11)&gt;1),1,0)))</f>
        <v>17</v>
      </c>
      <c r="J29" s="156">
        <f>IF(OR(基本情報!$D$12="",C29&lt;=YEAR(基本情報!$D$12)),"",MAX(0,C29-YEAR(基本情報!$D$12)-IF(OR(MONTH(基本情報!$D$12)&gt;1,DAY(基本情報!$D$12)&gt;1),1,0)))</f>
        <v>15</v>
      </c>
      <c r="K29" s="157" t="s">
        <v>385</v>
      </c>
      <c r="L29" s="162"/>
      <c r="M29" s="159" t="s">
        <v>386</v>
      </c>
      <c r="N29" s="158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"/>
      <c r="B30" s="154">
        <f t="shared" si="0"/>
        <v>27</v>
      </c>
      <c r="C30" s="155">
        <f>基本情報!$C$3+B30-1</f>
        <v>2048</v>
      </c>
      <c r="D30" s="155">
        <f>IF(基本情報!$D$6="","",C30-YEAR(基本情報!$D$6)-IF(OR(MONTH(基本情報!$D$6)&gt;1,DAY(基本情報!$D$6)&gt;1),1,0))</f>
        <v>61</v>
      </c>
      <c r="E30" s="155">
        <f>IF(基本情報!$D$7="","",C30-YEAR(基本情報!$D$7)-IF(OR(MONTH(基本情報!$D$7)&gt;1,DAY(基本情報!$D$7)&gt;1),1,0))</f>
        <v>60</v>
      </c>
      <c r="F30" s="155">
        <f>IF(OR(基本情報!$D$8="",C30&lt;=YEAR(基本情報!$D$8)),"",MAX(0,C30-YEAR(基本情報!$D$8)-IF(OR(MONTH(基本情報!$D$8)&gt;1,DAY(基本情報!$D$8)&gt;1),1,0)))</f>
        <v>29</v>
      </c>
      <c r="G30" s="155">
        <f>IF(OR(基本情報!$D$9="",C30&lt;=YEAR(基本情報!$D$9)),"",MAX(0,C30-YEAR(基本情報!$D$9)-IF(OR(MONTH(基本情報!$D$9)&gt;1,DAY(基本情報!$D$9)&gt;1),1,0)))</f>
        <v>27</v>
      </c>
      <c r="H30" s="155">
        <f>IF(OR(基本情報!$D$10="",C30&lt;=YEAR(基本情報!$D$10)),"",MAX(0,C30-YEAR(基本情報!$D$10)-IF(OR(MONTH(基本情報!$D$10)&gt;1,DAY(基本情報!$D$10)&gt;1),1,0)))</f>
        <v>20</v>
      </c>
      <c r="I30" s="156">
        <f>IF(OR(基本情報!$D$11="",C30&lt;=YEAR(基本情報!$D$11)),"",MAX(0,C30-YEAR(基本情報!$D$11)-IF(OR(MONTH(基本情報!$D$11)&gt;1,DAY(基本情報!$D$11)&gt;1),1,0)))</f>
        <v>18</v>
      </c>
      <c r="J30" s="156">
        <f>IF(OR(基本情報!$D$12="",C30&lt;=YEAR(基本情報!$D$12)),"",MAX(0,C30-YEAR(基本情報!$D$12)-IF(OR(MONTH(基本情報!$D$12)&gt;1,DAY(基本情報!$D$12)&gt;1),1,0)))</f>
        <v>16</v>
      </c>
      <c r="K30" s="157" t="s">
        <v>385</v>
      </c>
      <c r="L30" s="158"/>
      <c r="M30" s="159" t="s">
        <v>387</v>
      </c>
      <c r="N30" s="158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154">
        <f t="shared" si="0"/>
        <v>28</v>
      </c>
      <c r="C31" s="155">
        <f>基本情報!$C$3+B31-1</f>
        <v>2049</v>
      </c>
      <c r="D31" s="155">
        <f>IF(基本情報!$D$6="","",C31-YEAR(基本情報!$D$6)-IF(OR(MONTH(基本情報!$D$6)&gt;1,DAY(基本情報!$D$6)&gt;1),1,0))</f>
        <v>62</v>
      </c>
      <c r="E31" s="155">
        <f>IF(基本情報!$D$7="","",C31-YEAR(基本情報!$D$7)-IF(OR(MONTH(基本情報!$D$7)&gt;1,DAY(基本情報!$D$7)&gt;1),1,0))</f>
        <v>61</v>
      </c>
      <c r="F31" s="155">
        <f>IF(OR(基本情報!$D$8="",C31&lt;=YEAR(基本情報!$D$8)),"",MAX(0,C31-YEAR(基本情報!$D$8)-IF(OR(MONTH(基本情報!$D$8)&gt;1,DAY(基本情報!$D$8)&gt;1),1,0)))</f>
        <v>30</v>
      </c>
      <c r="G31" s="155">
        <f>IF(OR(基本情報!$D$9="",C31&lt;=YEAR(基本情報!$D$9)),"",MAX(0,C31-YEAR(基本情報!$D$9)-IF(OR(MONTH(基本情報!$D$9)&gt;1,DAY(基本情報!$D$9)&gt;1),1,0)))</f>
        <v>28</v>
      </c>
      <c r="H31" s="155">
        <f>IF(OR(基本情報!$D$10="",C31&lt;=YEAR(基本情報!$D$10)),"",MAX(0,C31-YEAR(基本情報!$D$10)-IF(OR(MONTH(基本情報!$D$10)&gt;1,DAY(基本情報!$D$10)&gt;1),1,0)))</f>
        <v>21</v>
      </c>
      <c r="I31" s="156">
        <f>IF(OR(基本情報!$D$11="",C31&lt;=YEAR(基本情報!$D$11)),"",MAX(0,C31-YEAR(基本情報!$D$11)-IF(OR(MONTH(基本情報!$D$11)&gt;1,DAY(基本情報!$D$11)&gt;1),1,0)))</f>
        <v>19</v>
      </c>
      <c r="J31" s="156">
        <f>IF(OR(基本情報!$D$12="",C31&lt;=YEAR(基本情報!$D$12)),"",MAX(0,C31-YEAR(基本情報!$D$12)-IF(OR(MONTH(基本情報!$D$12)&gt;1,DAY(基本情報!$D$12)&gt;1),1,0)))</f>
        <v>17</v>
      </c>
      <c r="K31" s="157" t="s">
        <v>385</v>
      </c>
      <c r="L31" s="158"/>
      <c r="M31" s="159" t="s">
        <v>388</v>
      </c>
      <c r="N31" s="158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1"/>
      <c r="B32" s="154">
        <f t="shared" si="0"/>
        <v>29</v>
      </c>
      <c r="C32" s="155">
        <f>基本情報!$C$3+B32-1</f>
        <v>2050</v>
      </c>
      <c r="D32" s="155">
        <f>IF(基本情報!$D$6="","",C32-YEAR(基本情報!$D$6)-IF(OR(MONTH(基本情報!$D$6)&gt;1,DAY(基本情報!$D$6)&gt;1),1,0))</f>
        <v>63</v>
      </c>
      <c r="E32" s="155">
        <f>IF(基本情報!$D$7="","",C32-YEAR(基本情報!$D$7)-IF(OR(MONTH(基本情報!$D$7)&gt;1,DAY(基本情報!$D$7)&gt;1),1,0))</f>
        <v>62</v>
      </c>
      <c r="F32" s="155">
        <f>IF(OR(基本情報!$D$8="",C32&lt;=YEAR(基本情報!$D$8)),"",MAX(0,C32-YEAR(基本情報!$D$8)-IF(OR(MONTH(基本情報!$D$8)&gt;1,DAY(基本情報!$D$8)&gt;1),1,0)))</f>
        <v>31</v>
      </c>
      <c r="G32" s="155">
        <f>IF(OR(基本情報!$D$9="",C32&lt;=YEAR(基本情報!$D$9)),"",MAX(0,C32-YEAR(基本情報!$D$9)-IF(OR(MONTH(基本情報!$D$9)&gt;1,DAY(基本情報!$D$9)&gt;1),1,0)))</f>
        <v>29</v>
      </c>
      <c r="H32" s="155">
        <f>IF(OR(基本情報!$D$10="",C32&lt;=YEAR(基本情報!$D$10)),"",MAX(0,C32-YEAR(基本情報!$D$10)-IF(OR(MONTH(基本情報!$D$10)&gt;1,DAY(基本情報!$D$10)&gt;1),1,0)))</f>
        <v>22</v>
      </c>
      <c r="I32" s="156">
        <f>IF(OR(基本情報!$D$11="",C32&lt;=YEAR(基本情報!$D$11)),"",MAX(0,C32-YEAR(基本情報!$D$11)-IF(OR(MONTH(基本情報!$D$11)&gt;1,DAY(基本情報!$D$11)&gt;1),1,0)))</f>
        <v>20</v>
      </c>
      <c r="J32" s="156">
        <f>IF(OR(基本情報!$D$12="",C32&lt;=YEAR(基本情報!$D$12)),"",MAX(0,C32-YEAR(基本情報!$D$12)-IF(OR(MONTH(基本情報!$D$12)&gt;1,DAY(基本情報!$D$12)&gt;1),1,0)))</f>
        <v>18</v>
      </c>
      <c r="K32" s="157" t="s">
        <v>385</v>
      </c>
      <c r="L32" s="158"/>
      <c r="M32" s="159" t="s">
        <v>389</v>
      </c>
      <c r="N32" s="158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thickBot="1">
      <c r="A33" s="1"/>
      <c r="B33" s="214">
        <f t="shared" si="0"/>
        <v>30</v>
      </c>
      <c r="C33" s="215">
        <f>基本情報!$C$3+B33-1</f>
        <v>2051</v>
      </c>
      <c r="D33" s="215">
        <f>IF(基本情報!$D$6="","",C33-YEAR(基本情報!$D$6)-IF(OR(MONTH(基本情報!$D$6)&gt;1,DAY(基本情報!$D$6)&gt;1),1,0))</f>
        <v>64</v>
      </c>
      <c r="E33" s="215">
        <f>IF(基本情報!$D$7="","",C33-YEAR(基本情報!$D$7)-IF(OR(MONTH(基本情報!$D$7)&gt;1,DAY(基本情報!$D$7)&gt;1),1,0))</f>
        <v>63</v>
      </c>
      <c r="F33" s="215">
        <f>IF(OR(基本情報!$D$8="",C33&lt;=YEAR(基本情報!$D$8)),"",MAX(0,C33-YEAR(基本情報!$D$8)-IF(OR(MONTH(基本情報!$D$8)&gt;1,DAY(基本情報!$D$8)&gt;1),1,0)))</f>
        <v>32</v>
      </c>
      <c r="G33" s="215">
        <f>IF(OR(基本情報!$D$9="",C33&lt;=YEAR(基本情報!$D$9)),"",MAX(0,C33-YEAR(基本情報!$D$9)-IF(OR(MONTH(基本情報!$D$9)&gt;1,DAY(基本情報!$D$9)&gt;1),1,0)))</f>
        <v>30</v>
      </c>
      <c r="H33" s="215">
        <f>IF(OR(基本情報!$D$10="",C33&lt;=YEAR(基本情報!$D$10)),"",MAX(0,C33-YEAR(基本情報!$D$10)-IF(OR(MONTH(基本情報!$D$10)&gt;1,DAY(基本情報!$D$10)&gt;1),1,0)))</f>
        <v>23</v>
      </c>
      <c r="I33" s="216">
        <f>IF(OR(基本情報!$D$11="",C33&lt;=YEAR(基本情報!$D$11)),"",MAX(0,C33-YEAR(基本情報!$D$11)-IF(OR(MONTH(基本情報!$D$11)&gt;1,DAY(基本情報!$D$11)&gt;1),1,0)))</f>
        <v>21</v>
      </c>
      <c r="J33" s="216">
        <f>IF(OR(基本情報!$D$12="",C33&lt;=YEAR(基本情報!$D$12)),"",MAX(0,C33-YEAR(基本情報!$D$12)-IF(OR(MONTH(基本情報!$D$12)&gt;1,DAY(基本情報!$D$12)&gt;1),1,0)))</f>
        <v>19</v>
      </c>
      <c r="K33" s="217" t="s">
        <v>385</v>
      </c>
      <c r="L33" s="218" t="s">
        <v>444</v>
      </c>
      <c r="M33" s="218"/>
      <c r="N33" s="158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1"/>
      <c r="B34" s="209">
        <f t="shared" si="0"/>
        <v>31</v>
      </c>
      <c r="C34" s="210">
        <f>基本情報!$C$3+B34-1</f>
        <v>2052</v>
      </c>
      <c r="D34" s="210">
        <f>IF(基本情報!$D$6="","",C34-YEAR(基本情報!$D$6)-IF(OR(MONTH(基本情報!$D$6)&gt;1,DAY(基本情報!$D$6)&gt;1),1,0))</f>
        <v>65</v>
      </c>
      <c r="E34" s="210">
        <f>IF(基本情報!$D$7="","",C34-YEAR(基本情報!$D$7)-IF(OR(MONTH(基本情報!$D$7)&gt;1,DAY(基本情報!$D$7)&gt;1),1,0))</f>
        <v>64</v>
      </c>
      <c r="F34" s="210">
        <f>IF(OR(基本情報!$D$8="",C34&lt;=YEAR(基本情報!$D$8)),"",MAX(0,C34-YEAR(基本情報!$D$8)-IF(OR(MONTH(基本情報!$D$8)&gt;1,DAY(基本情報!$D$8)&gt;1),1,0)))</f>
        <v>33</v>
      </c>
      <c r="G34" s="210">
        <f>IF(OR(基本情報!$D$9="",C34&lt;=YEAR(基本情報!$D$9)),"",MAX(0,C34-YEAR(基本情報!$D$9)-IF(OR(MONTH(基本情報!$D$9)&gt;1,DAY(基本情報!$D$9)&gt;1),1,0)))</f>
        <v>31</v>
      </c>
      <c r="H34" s="210">
        <f>IF(OR(基本情報!$D$10="",C34&lt;=YEAR(基本情報!$D$10)),"",MAX(0,C34-YEAR(基本情報!$D$10)-IF(OR(MONTH(基本情報!$D$10)&gt;1,DAY(基本情報!$D$10)&gt;1),1,0)))</f>
        <v>24</v>
      </c>
      <c r="I34" s="211">
        <f>IF(OR(基本情報!$D$11="",C34&lt;=YEAR(基本情報!$D$11)),"",MAX(0,C34-YEAR(基本情報!$D$11)-IF(OR(MONTH(基本情報!$D$11)&gt;1,DAY(基本情報!$D$11)&gt;1),1,0)))</f>
        <v>22</v>
      </c>
      <c r="J34" s="211">
        <f>IF(OR(基本情報!$D$12="",C34&lt;=YEAR(基本情報!$D$12)),"",MAX(0,C34-YEAR(基本情報!$D$12)-IF(OR(MONTH(基本情報!$D$12)&gt;1,DAY(基本情報!$D$12)&gt;1),1,0)))</f>
        <v>20</v>
      </c>
      <c r="K34" s="212" t="s">
        <v>385</v>
      </c>
      <c r="L34" s="219" t="s">
        <v>445</v>
      </c>
      <c r="M34" s="213" t="s">
        <v>390</v>
      </c>
      <c r="N34" s="15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1"/>
      <c r="B35" s="154">
        <f t="shared" si="0"/>
        <v>32</v>
      </c>
      <c r="C35" s="155">
        <f>基本情報!$C$3+B35-1</f>
        <v>2053</v>
      </c>
      <c r="D35" s="155">
        <f>IF(基本情報!$D$6="","",C35-YEAR(基本情報!$D$6)-IF(OR(MONTH(基本情報!$D$6)&gt;1,DAY(基本情報!$D$6)&gt;1),1,0))</f>
        <v>66</v>
      </c>
      <c r="E35" s="155">
        <f>IF(基本情報!$D$7="","",C35-YEAR(基本情報!$D$7)-IF(OR(MONTH(基本情報!$D$7)&gt;1,DAY(基本情報!$D$7)&gt;1),1,0))</f>
        <v>65</v>
      </c>
      <c r="F35" s="155">
        <f>IF(OR(基本情報!$D$8="",C35&lt;=YEAR(基本情報!$D$8)),"",MAX(0,C35-YEAR(基本情報!$D$8)-IF(OR(MONTH(基本情報!$D$8)&gt;1,DAY(基本情報!$D$8)&gt;1),1,0)))</f>
        <v>34</v>
      </c>
      <c r="G35" s="155">
        <f>IF(OR(基本情報!$D$9="",C35&lt;=YEAR(基本情報!$D$9)),"",MAX(0,C35-YEAR(基本情報!$D$9)-IF(OR(MONTH(基本情報!$D$9)&gt;1,DAY(基本情報!$D$9)&gt;1),1,0)))</f>
        <v>32</v>
      </c>
      <c r="H35" s="155">
        <f>IF(OR(基本情報!$D$10="",C35&lt;=YEAR(基本情報!$D$10)),"",MAX(0,C35-YEAR(基本情報!$D$10)-IF(OR(MONTH(基本情報!$D$10)&gt;1,DAY(基本情報!$D$10)&gt;1),1,0)))</f>
        <v>25</v>
      </c>
      <c r="I35" s="156">
        <f>IF(OR(基本情報!$D$11="",C35&lt;=YEAR(基本情報!$D$11)),"",MAX(0,C35-YEAR(基本情報!$D$11)-IF(OR(MONTH(基本情報!$D$11)&gt;1,DAY(基本情報!$D$11)&gt;1),1,0)))</f>
        <v>23</v>
      </c>
      <c r="J35" s="156">
        <f>IF(OR(基本情報!$D$12="",C35&lt;=YEAR(基本情報!$D$12)),"",MAX(0,C35-YEAR(基本情報!$D$12)-IF(OR(MONTH(基本情報!$D$12)&gt;1,DAY(基本情報!$D$12)&gt;1),1,0)))</f>
        <v>21</v>
      </c>
      <c r="K35" s="157" t="s">
        <v>385</v>
      </c>
      <c r="L35" s="162" t="s">
        <v>446</v>
      </c>
      <c r="M35" s="158"/>
      <c r="N35" s="15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1"/>
      <c r="B36" s="154">
        <f t="shared" si="0"/>
        <v>33</v>
      </c>
      <c r="C36" s="155">
        <f>基本情報!$C$3+B36-1</f>
        <v>2054</v>
      </c>
      <c r="D36" s="155">
        <f>IF(基本情報!$D$6="","",C36-YEAR(基本情報!$D$6)-IF(OR(MONTH(基本情報!$D$6)&gt;1,DAY(基本情報!$D$6)&gt;1),1,0))</f>
        <v>67</v>
      </c>
      <c r="E36" s="155">
        <f>IF(基本情報!$D$7="","",C36-YEAR(基本情報!$D$7)-IF(OR(MONTH(基本情報!$D$7)&gt;1,DAY(基本情報!$D$7)&gt;1),1,0))</f>
        <v>66</v>
      </c>
      <c r="F36" s="155">
        <f>IF(OR(基本情報!$D$8="",C36&lt;=YEAR(基本情報!$D$8)),"",MAX(0,C36-YEAR(基本情報!$D$8)-IF(OR(MONTH(基本情報!$D$8)&gt;1,DAY(基本情報!$D$8)&gt;1),1,0)))</f>
        <v>35</v>
      </c>
      <c r="G36" s="155">
        <f>IF(OR(基本情報!$D$9="",C36&lt;=YEAR(基本情報!$D$9)),"",MAX(0,C36-YEAR(基本情報!$D$9)-IF(OR(MONTH(基本情報!$D$9)&gt;1,DAY(基本情報!$D$9)&gt;1),1,0)))</f>
        <v>33</v>
      </c>
      <c r="H36" s="155">
        <f>IF(OR(基本情報!$D$10="",C36&lt;=YEAR(基本情報!$D$10)),"",MAX(0,C36-YEAR(基本情報!$D$10)-IF(OR(MONTH(基本情報!$D$10)&gt;1,DAY(基本情報!$D$10)&gt;1),1,0)))</f>
        <v>26</v>
      </c>
      <c r="I36" s="156">
        <f>IF(OR(基本情報!$D$11="",C36&lt;=YEAR(基本情報!$D$11)),"",MAX(0,C36-YEAR(基本情報!$D$11)-IF(OR(MONTH(基本情報!$D$11)&gt;1,DAY(基本情報!$D$11)&gt;1),1,0)))</f>
        <v>24</v>
      </c>
      <c r="J36" s="156">
        <f>IF(OR(基本情報!$D$12="",C36&lt;=YEAR(基本情報!$D$12)),"",MAX(0,C36-YEAR(基本情報!$D$12)-IF(OR(MONTH(基本情報!$D$12)&gt;1,DAY(基本情報!$D$12)&gt;1),1,0)))</f>
        <v>22</v>
      </c>
      <c r="K36" s="157" t="s">
        <v>385</v>
      </c>
      <c r="L36" s="158"/>
      <c r="M36" s="193" t="s">
        <v>391</v>
      </c>
      <c r="N36" s="15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"/>
      <c r="B37" s="154">
        <f t="shared" ref="B37:B69" si="1">B36+1</f>
        <v>34</v>
      </c>
      <c r="C37" s="155">
        <f>基本情報!$C$3+B37-1</f>
        <v>2055</v>
      </c>
      <c r="D37" s="155">
        <f>IF(基本情報!$D$6="","",C37-YEAR(基本情報!$D$6)-IF(OR(MONTH(基本情報!$D$6)&gt;1,DAY(基本情報!$D$6)&gt;1),1,0))</f>
        <v>68</v>
      </c>
      <c r="E37" s="155">
        <f>IF(基本情報!$D$7="","",C37-YEAR(基本情報!$D$7)-IF(OR(MONTH(基本情報!$D$7)&gt;1,DAY(基本情報!$D$7)&gt;1),1,0))</f>
        <v>67</v>
      </c>
      <c r="F37" s="155">
        <f>IF(OR(基本情報!$D$8="",C37&lt;=YEAR(基本情報!$D$8)),"",MAX(0,C37-YEAR(基本情報!$D$8)-IF(OR(MONTH(基本情報!$D$8)&gt;1,DAY(基本情報!$D$8)&gt;1),1,0)))</f>
        <v>36</v>
      </c>
      <c r="G37" s="155">
        <f>IF(OR(基本情報!$D$9="",C37&lt;=YEAR(基本情報!$D$9)),"",MAX(0,C37-YEAR(基本情報!$D$9)-IF(OR(MONTH(基本情報!$D$9)&gt;1,DAY(基本情報!$D$9)&gt;1),1,0)))</f>
        <v>34</v>
      </c>
      <c r="H37" s="155">
        <f>IF(OR(基本情報!$D$10="",C37&lt;=YEAR(基本情報!$D$10)),"",MAX(0,C37-YEAR(基本情報!$D$10)-IF(OR(MONTH(基本情報!$D$10)&gt;1,DAY(基本情報!$D$10)&gt;1),1,0)))</f>
        <v>27</v>
      </c>
      <c r="I37" s="156">
        <f>IF(OR(基本情報!$D$11="",C37&lt;=YEAR(基本情報!$D$11)),"",MAX(0,C37-YEAR(基本情報!$D$11)-IF(OR(MONTH(基本情報!$D$11)&gt;1,DAY(基本情報!$D$11)&gt;1),1,0)))</f>
        <v>25</v>
      </c>
      <c r="J37" s="156">
        <f>IF(OR(基本情報!$D$12="",C37&lt;=YEAR(基本情報!$D$12)),"",MAX(0,C37-YEAR(基本情報!$D$12)-IF(OR(MONTH(基本情報!$D$12)&gt;1,DAY(基本情報!$D$12)&gt;1),1,0)))</f>
        <v>23</v>
      </c>
      <c r="K37" s="157" t="s">
        <v>385</v>
      </c>
      <c r="L37" s="158"/>
      <c r="M37" s="158"/>
      <c r="N37" s="15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1"/>
      <c r="B38" s="154">
        <f t="shared" si="1"/>
        <v>35</v>
      </c>
      <c r="C38" s="155">
        <f>基本情報!$C$3+B38-1</f>
        <v>2056</v>
      </c>
      <c r="D38" s="155">
        <f>IF(基本情報!$D$6="","",C38-YEAR(基本情報!$D$6)-IF(OR(MONTH(基本情報!$D$6)&gt;1,DAY(基本情報!$D$6)&gt;1),1,0))</f>
        <v>69</v>
      </c>
      <c r="E38" s="155">
        <f>IF(基本情報!$D$7="","",C38-YEAR(基本情報!$D$7)-IF(OR(MONTH(基本情報!$D$7)&gt;1,DAY(基本情報!$D$7)&gt;1),1,0))</f>
        <v>68</v>
      </c>
      <c r="F38" s="155">
        <f>IF(OR(基本情報!$D$8="",C38&lt;=YEAR(基本情報!$D$8)),"",MAX(0,C38-YEAR(基本情報!$D$8)-IF(OR(MONTH(基本情報!$D$8)&gt;1,DAY(基本情報!$D$8)&gt;1),1,0)))</f>
        <v>37</v>
      </c>
      <c r="G38" s="155">
        <f>IF(OR(基本情報!$D$9="",C38&lt;=YEAR(基本情報!$D$9)),"",MAX(0,C38-YEAR(基本情報!$D$9)-IF(OR(MONTH(基本情報!$D$9)&gt;1,DAY(基本情報!$D$9)&gt;1),1,0)))</f>
        <v>35</v>
      </c>
      <c r="H38" s="155">
        <f>IF(OR(基本情報!$D$10="",C38&lt;=YEAR(基本情報!$D$10)),"",MAX(0,C38-YEAR(基本情報!$D$10)-IF(OR(MONTH(基本情報!$D$10)&gt;1,DAY(基本情報!$D$10)&gt;1),1,0)))</f>
        <v>28</v>
      </c>
      <c r="I38" s="156">
        <f>IF(OR(基本情報!$D$11="",C38&lt;=YEAR(基本情報!$D$11)),"",MAX(0,C38-YEAR(基本情報!$D$11)-IF(OR(MONTH(基本情報!$D$11)&gt;1,DAY(基本情報!$D$11)&gt;1),1,0)))</f>
        <v>26</v>
      </c>
      <c r="J38" s="156">
        <f>IF(OR(基本情報!$D$12="",C38&lt;=YEAR(基本情報!$D$12)),"",MAX(0,C38-YEAR(基本情報!$D$12)-IF(OR(MONTH(基本情報!$D$12)&gt;1,DAY(基本情報!$D$12)&gt;1),1,0)))</f>
        <v>24</v>
      </c>
      <c r="K38" s="157" t="s">
        <v>385</v>
      </c>
      <c r="L38" s="158"/>
      <c r="M38" s="159" t="s">
        <v>392</v>
      </c>
      <c r="N38" s="15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"/>
      <c r="B39" s="154">
        <f t="shared" si="1"/>
        <v>36</v>
      </c>
      <c r="C39" s="155">
        <f>基本情報!$C$3+B39-1</f>
        <v>2057</v>
      </c>
      <c r="D39" s="155">
        <f>IF(基本情報!$D$6="","",C39-YEAR(基本情報!$D$6)-IF(OR(MONTH(基本情報!$D$6)&gt;1,DAY(基本情報!$D$6)&gt;1),1,0))</f>
        <v>70</v>
      </c>
      <c r="E39" s="155">
        <f>IF(基本情報!$D$7="","",C39-YEAR(基本情報!$D$7)-IF(OR(MONTH(基本情報!$D$7)&gt;1,DAY(基本情報!$D$7)&gt;1),1,0))</f>
        <v>69</v>
      </c>
      <c r="F39" s="155">
        <f>IF(OR(基本情報!$D$8="",C39&lt;=YEAR(基本情報!$D$8)),"",MAX(0,C39-YEAR(基本情報!$D$8)-IF(OR(MONTH(基本情報!$D$8)&gt;1,DAY(基本情報!$D$8)&gt;1),1,0)))</f>
        <v>38</v>
      </c>
      <c r="G39" s="155">
        <f>IF(OR(基本情報!$D$9="",C39&lt;=YEAR(基本情報!$D$9)),"",MAX(0,C39-YEAR(基本情報!$D$9)-IF(OR(MONTH(基本情報!$D$9)&gt;1,DAY(基本情報!$D$9)&gt;1),1,0)))</f>
        <v>36</v>
      </c>
      <c r="H39" s="155">
        <f>IF(OR(基本情報!$D$10="",C39&lt;=YEAR(基本情報!$D$10)),"",MAX(0,C39-YEAR(基本情報!$D$10)-IF(OR(MONTH(基本情報!$D$10)&gt;1,DAY(基本情報!$D$10)&gt;1),1,0)))</f>
        <v>29</v>
      </c>
      <c r="I39" s="156">
        <f>IF(OR(基本情報!$D$11="",C39&lt;=YEAR(基本情報!$D$11)),"",MAX(0,C39-YEAR(基本情報!$D$11)-IF(OR(MONTH(基本情報!$D$11)&gt;1,DAY(基本情報!$D$11)&gt;1),1,0)))</f>
        <v>27</v>
      </c>
      <c r="J39" s="156">
        <f>IF(OR(基本情報!$D$12="",C39&lt;=YEAR(基本情報!$D$12)),"",MAX(0,C39-YEAR(基本情報!$D$12)-IF(OR(MONTH(基本情報!$D$12)&gt;1,DAY(基本情報!$D$12)&gt;1),1,0)))</f>
        <v>25</v>
      </c>
      <c r="K39" s="157" t="s">
        <v>393</v>
      </c>
      <c r="L39" s="159" t="s">
        <v>394</v>
      </c>
      <c r="M39" s="158"/>
      <c r="N39" s="15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1"/>
      <c r="B40" s="154">
        <f t="shared" si="1"/>
        <v>37</v>
      </c>
      <c r="C40" s="155">
        <f>基本情報!$C$3+B40-1</f>
        <v>2058</v>
      </c>
      <c r="D40" s="155">
        <f>IF(基本情報!$D$6="","",C40-YEAR(基本情報!$D$6)-IF(OR(MONTH(基本情報!$D$6)&gt;1,DAY(基本情報!$D$6)&gt;1),1,0))</f>
        <v>71</v>
      </c>
      <c r="E40" s="155">
        <f>IF(基本情報!$D$7="","",C40-YEAR(基本情報!$D$7)-IF(OR(MONTH(基本情報!$D$7)&gt;1,DAY(基本情報!$D$7)&gt;1),1,0))</f>
        <v>70</v>
      </c>
      <c r="F40" s="155">
        <f>IF(OR(基本情報!$D$8="",C40&lt;=YEAR(基本情報!$D$8)),"",MAX(0,C40-YEAR(基本情報!$D$8)-IF(OR(MONTH(基本情報!$D$8)&gt;1,DAY(基本情報!$D$8)&gt;1),1,0)))</f>
        <v>39</v>
      </c>
      <c r="G40" s="155">
        <f>IF(OR(基本情報!$D$9="",C40&lt;=YEAR(基本情報!$D$9)),"",MAX(0,C40-YEAR(基本情報!$D$9)-IF(OR(MONTH(基本情報!$D$9)&gt;1,DAY(基本情報!$D$9)&gt;1),1,0)))</f>
        <v>37</v>
      </c>
      <c r="H40" s="155">
        <f>IF(OR(基本情報!$D$10="",C40&lt;=YEAR(基本情報!$D$10)),"",MAX(0,C40-YEAR(基本情報!$D$10)-IF(OR(MONTH(基本情報!$D$10)&gt;1,DAY(基本情報!$D$10)&gt;1),1,0)))</f>
        <v>30</v>
      </c>
      <c r="I40" s="156">
        <f>IF(OR(基本情報!$D$11="",C40&lt;=YEAR(基本情報!$D$11)),"",MAX(0,C40-YEAR(基本情報!$D$11)-IF(OR(MONTH(基本情報!$D$11)&gt;1,DAY(基本情報!$D$11)&gt;1),1,0)))</f>
        <v>28</v>
      </c>
      <c r="J40" s="156">
        <f>IF(OR(基本情報!$D$12="",C40&lt;=YEAR(基本情報!$D$12)),"",MAX(0,C40-YEAR(基本情報!$D$12)-IF(OR(MONTH(基本情報!$D$12)&gt;1,DAY(基本情報!$D$12)&gt;1),1,0)))</f>
        <v>26</v>
      </c>
      <c r="K40" s="157" t="s">
        <v>393</v>
      </c>
      <c r="L40" s="158"/>
      <c r="M40" s="159" t="s">
        <v>395</v>
      </c>
      <c r="N40" s="15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1"/>
      <c r="B41" s="154">
        <f t="shared" si="1"/>
        <v>38</v>
      </c>
      <c r="C41" s="155">
        <f>基本情報!$C$3+B41-1</f>
        <v>2059</v>
      </c>
      <c r="D41" s="155">
        <f>IF(基本情報!$D$6="","",C41-YEAR(基本情報!$D$6)-IF(OR(MONTH(基本情報!$D$6)&gt;1,DAY(基本情報!$D$6)&gt;1),1,0))</f>
        <v>72</v>
      </c>
      <c r="E41" s="155">
        <f>IF(基本情報!$D$7="","",C41-YEAR(基本情報!$D$7)-IF(OR(MONTH(基本情報!$D$7)&gt;1,DAY(基本情報!$D$7)&gt;1),1,0))</f>
        <v>71</v>
      </c>
      <c r="F41" s="155">
        <f>IF(OR(基本情報!$D$8="",C41&lt;=YEAR(基本情報!$D$8)),"",MAX(0,C41-YEAR(基本情報!$D$8)-IF(OR(MONTH(基本情報!$D$8)&gt;1,DAY(基本情報!$D$8)&gt;1),1,0)))</f>
        <v>40</v>
      </c>
      <c r="G41" s="155">
        <f>IF(OR(基本情報!$D$9="",C41&lt;=YEAR(基本情報!$D$9)),"",MAX(0,C41-YEAR(基本情報!$D$9)-IF(OR(MONTH(基本情報!$D$9)&gt;1,DAY(基本情報!$D$9)&gt;1),1,0)))</f>
        <v>38</v>
      </c>
      <c r="H41" s="155">
        <f>IF(OR(基本情報!$D$10="",C41&lt;=YEAR(基本情報!$D$10)),"",MAX(0,C41-YEAR(基本情報!$D$10)-IF(OR(MONTH(基本情報!$D$10)&gt;1,DAY(基本情報!$D$10)&gt;1),1,0)))</f>
        <v>31</v>
      </c>
      <c r="I41" s="156">
        <f>IF(OR(基本情報!$D$11="",C41&lt;=YEAR(基本情報!$D$11)),"",MAX(0,C41-YEAR(基本情報!$D$11)-IF(OR(MONTH(基本情報!$D$11)&gt;1,DAY(基本情報!$D$11)&gt;1),1,0)))</f>
        <v>29</v>
      </c>
      <c r="J41" s="156">
        <f>IF(OR(基本情報!$D$12="",C41&lt;=YEAR(基本情報!$D$12)),"",MAX(0,C41-YEAR(基本情報!$D$12)-IF(OR(MONTH(基本情報!$D$12)&gt;1,DAY(基本情報!$D$12)&gt;1),1,0)))</f>
        <v>27</v>
      </c>
      <c r="K41" s="157" t="s">
        <v>393</v>
      </c>
      <c r="L41" s="158"/>
      <c r="M41" s="158"/>
      <c r="N41" s="15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1"/>
      <c r="B42" s="154">
        <f t="shared" si="1"/>
        <v>39</v>
      </c>
      <c r="C42" s="155">
        <f>基本情報!$C$3+B42-1</f>
        <v>2060</v>
      </c>
      <c r="D42" s="155">
        <f>IF(基本情報!$D$6="","",C42-YEAR(基本情報!$D$6)-IF(OR(MONTH(基本情報!$D$6)&gt;1,DAY(基本情報!$D$6)&gt;1),1,0))</f>
        <v>73</v>
      </c>
      <c r="E42" s="155">
        <f>IF(基本情報!$D$7="","",C42-YEAR(基本情報!$D$7)-IF(OR(MONTH(基本情報!$D$7)&gt;1,DAY(基本情報!$D$7)&gt;1),1,0))</f>
        <v>72</v>
      </c>
      <c r="F42" s="155">
        <f>IF(OR(基本情報!$D$8="",C42&lt;=YEAR(基本情報!$D$8)),"",MAX(0,C42-YEAR(基本情報!$D$8)-IF(OR(MONTH(基本情報!$D$8)&gt;1,DAY(基本情報!$D$8)&gt;1),1,0)))</f>
        <v>41</v>
      </c>
      <c r="G42" s="155">
        <f>IF(OR(基本情報!$D$9="",C42&lt;=YEAR(基本情報!$D$9)),"",MAX(0,C42-YEAR(基本情報!$D$9)-IF(OR(MONTH(基本情報!$D$9)&gt;1,DAY(基本情報!$D$9)&gt;1),1,0)))</f>
        <v>39</v>
      </c>
      <c r="H42" s="155">
        <f>IF(OR(基本情報!$D$10="",C42&lt;=YEAR(基本情報!$D$10)),"",MAX(0,C42-YEAR(基本情報!$D$10)-IF(OR(MONTH(基本情報!$D$10)&gt;1,DAY(基本情報!$D$10)&gt;1),1,0)))</f>
        <v>32</v>
      </c>
      <c r="I42" s="156">
        <f>IF(OR(基本情報!$D$11="",C42&lt;=YEAR(基本情報!$D$11)),"",MAX(0,C42-YEAR(基本情報!$D$11)-IF(OR(MONTH(基本情報!$D$11)&gt;1,DAY(基本情報!$D$11)&gt;1),1,0)))</f>
        <v>30</v>
      </c>
      <c r="J42" s="156">
        <f>IF(OR(基本情報!$D$12="",C42&lt;=YEAR(基本情報!$D$12)),"",MAX(0,C42-YEAR(基本情報!$D$12)-IF(OR(MONTH(基本情報!$D$12)&gt;1,DAY(基本情報!$D$12)&gt;1),1,0)))</f>
        <v>28</v>
      </c>
      <c r="K42" s="157" t="s">
        <v>393</v>
      </c>
      <c r="L42" s="158"/>
      <c r="M42" s="159" t="s">
        <v>396</v>
      </c>
      <c r="N42" s="15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1"/>
      <c r="B43" s="154">
        <f t="shared" si="1"/>
        <v>40</v>
      </c>
      <c r="C43" s="155">
        <f>基本情報!$C$3+B43-1</f>
        <v>2061</v>
      </c>
      <c r="D43" s="155">
        <f>IF(基本情報!$D$6="","",C43-YEAR(基本情報!$D$6)-IF(OR(MONTH(基本情報!$D$6)&gt;1,DAY(基本情報!$D$6)&gt;1),1,0))</f>
        <v>74</v>
      </c>
      <c r="E43" s="155">
        <f>IF(基本情報!$D$7="","",C43-YEAR(基本情報!$D$7)-IF(OR(MONTH(基本情報!$D$7)&gt;1,DAY(基本情報!$D$7)&gt;1),1,0))</f>
        <v>73</v>
      </c>
      <c r="F43" s="155">
        <f>IF(OR(基本情報!$D$8="",C43&lt;=YEAR(基本情報!$D$8)),"",MAX(0,C43-YEAR(基本情報!$D$8)-IF(OR(MONTH(基本情報!$D$8)&gt;1,DAY(基本情報!$D$8)&gt;1),1,0)))</f>
        <v>42</v>
      </c>
      <c r="G43" s="155">
        <f>IF(OR(基本情報!$D$9="",C43&lt;=YEAR(基本情報!$D$9)),"",MAX(0,C43-YEAR(基本情報!$D$9)-IF(OR(MONTH(基本情報!$D$9)&gt;1,DAY(基本情報!$D$9)&gt;1),1,0)))</f>
        <v>40</v>
      </c>
      <c r="H43" s="155">
        <f>IF(OR(基本情報!$D$10="",C43&lt;=YEAR(基本情報!$D$10)),"",MAX(0,C43-YEAR(基本情報!$D$10)-IF(OR(MONTH(基本情報!$D$10)&gt;1,DAY(基本情報!$D$10)&gt;1),1,0)))</f>
        <v>33</v>
      </c>
      <c r="I43" s="156">
        <f>IF(OR(基本情報!$D$11="",C43&lt;=YEAR(基本情報!$D$11)),"",MAX(0,C43-YEAR(基本情報!$D$11)-IF(OR(MONTH(基本情報!$D$11)&gt;1,DAY(基本情報!$D$11)&gt;1),1,0)))</f>
        <v>31</v>
      </c>
      <c r="J43" s="156">
        <f>IF(OR(基本情報!$D$12="",C43&lt;=YEAR(基本情報!$D$12)),"",MAX(0,C43-YEAR(基本情報!$D$12)-IF(OR(MONTH(基本情報!$D$12)&gt;1,DAY(基本情報!$D$12)&gt;1),1,0)))</f>
        <v>29</v>
      </c>
      <c r="K43" s="157" t="s">
        <v>393</v>
      </c>
      <c r="L43" s="158"/>
      <c r="M43" s="158"/>
      <c r="N43" s="15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1"/>
      <c r="B44" s="154">
        <f t="shared" si="1"/>
        <v>41</v>
      </c>
      <c r="C44" s="155">
        <f>基本情報!$C$3+B44-1</f>
        <v>2062</v>
      </c>
      <c r="D44" s="155">
        <f>IF(基本情報!$D$6="","",C44-YEAR(基本情報!$D$6)-IF(OR(MONTH(基本情報!$D$6)&gt;1,DAY(基本情報!$D$6)&gt;1),1,0))</f>
        <v>75</v>
      </c>
      <c r="E44" s="155">
        <f>IF(基本情報!$D$7="","",C44-YEAR(基本情報!$D$7)-IF(OR(MONTH(基本情報!$D$7)&gt;1,DAY(基本情報!$D$7)&gt;1),1,0))</f>
        <v>74</v>
      </c>
      <c r="F44" s="155">
        <f>IF(OR(基本情報!$D$8="",C44&lt;=YEAR(基本情報!$D$8)),"",MAX(0,C44-YEAR(基本情報!$D$8)-IF(OR(MONTH(基本情報!$D$8)&gt;1,DAY(基本情報!$D$8)&gt;1),1,0)))</f>
        <v>43</v>
      </c>
      <c r="G44" s="155">
        <f>IF(OR(基本情報!$D$9="",C44&lt;=YEAR(基本情報!$D$9)),"",MAX(0,C44-YEAR(基本情報!$D$9)-IF(OR(MONTH(基本情報!$D$9)&gt;1,DAY(基本情報!$D$9)&gt;1),1,0)))</f>
        <v>41</v>
      </c>
      <c r="H44" s="155">
        <f>IF(OR(基本情報!$D$10="",C44&lt;=YEAR(基本情報!$D$10)),"",MAX(0,C44-YEAR(基本情報!$D$10)-IF(OR(MONTH(基本情報!$D$10)&gt;1,DAY(基本情報!$D$10)&gt;1),1,0)))</f>
        <v>34</v>
      </c>
      <c r="I44" s="156">
        <f>IF(OR(基本情報!$D$11="",C44&lt;=YEAR(基本情報!$D$11)),"",MAX(0,C44-YEAR(基本情報!$D$11)-IF(OR(MONTH(基本情報!$D$11)&gt;1,DAY(基本情報!$D$11)&gt;1),1,0)))</f>
        <v>32</v>
      </c>
      <c r="J44" s="156">
        <f>IF(OR(基本情報!$D$12="",C44&lt;=YEAR(基本情報!$D$12)),"",MAX(0,C44-YEAR(基本情報!$D$12)-IF(OR(MONTH(基本情報!$D$12)&gt;1,DAY(基本情報!$D$12)&gt;1),1,0)))</f>
        <v>30</v>
      </c>
      <c r="K44" s="157" t="s">
        <v>393</v>
      </c>
      <c r="L44" s="158"/>
      <c r="M44" s="158"/>
      <c r="N44" s="15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1"/>
      <c r="B45" s="154">
        <f t="shared" si="1"/>
        <v>42</v>
      </c>
      <c r="C45" s="155">
        <f>基本情報!$C$3+B45-1</f>
        <v>2063</v>
      </c>
      <c r="D45" s="155">
        <f>IF(基本情報!$D$6="","",C45-YEAR(基本情報!$D$6)-IF(OR(MONTH(基本情報!$D$6)&gt;1,DAY(基本情報!$D$6)&gt;1),1,0))</f>
        <v>76</v>
      </c>
      <c r="E45" s="155">
        <f>IF(基本情報!$D$7="","",C45-YEAR(基本情報!$D$7)-IF(OR(MONTH(基本情報!$D$7)&gt;1,DAY(基本情報!$D$7)&gt;1),1,0))</f>
        <v>75</v>
      </c>
      <c r="F45" s="155">
        <f>IF(OR(基本情報!$D$8="",C45&lt;=YEAR(基本情報!$D$8)),"",MAX(0,C45-YEAR(基本情報!$D$8)-IF(OR(MONTH(基本情報!$D$8)&gt;1,DAY(基本情報!$D$8)&gt;1),1,0)))</f>
        <v>44</v>
      </c>
      <c r="G45" s="155">
        <f>IF(OR(基本情報!$D$9="",C45&lt;=YEAR(基本情報!$D$9)),"",MAX(0,C45-YEAR(基本情報!$D$9)-IF(OR(MONTH(基本情報!$D$9)&gt;1,DAY(基本情報!$D$9)&gt;1),1,0)))</f>
        <v>42</v>
      </c>
      <c r="H45" s="155">
        <f>IF(OR(基本情報!$D$10="",C45&lt;=YEAR(基本情報!$D$10)),"",MAX(0,C45-YEAR(基本情報!$D$10)-IF(OR(MONTH(基本情報!$D$10)&gt;1,DAY(基本情報!$D$10)&gt;1),1,0)))</f>
        <v>35</v>
      </c>
      <c r="I45" s="156">
        <f>IF(OR(基本情報!$D$11="",C45&lt;=YEAR(基本情報!$D$11)),"",MAX(0,C45-YEAR(基本情報!$D$11)-IF(OR(MONTH(基本情報!$D$11)&gt;1,DAY(基本情報!$D$11)&gt;1),1,0)))</f>
        <v>33</v>
      </c>
      <c r="J45" s="156">
        <f>IF(OR(基本情報!$D$12="",C45&lt;=YEAR(基本情報!$D$12)),"",MAX(0,C45-YEAR(基本情報!$D$12)-IF(OR(MONTH(基本情報!$D$12)&gt;1,DAY(基本情報!$D$12)&gt;1),1,0)))</f>
        <v>31</v>
      </c>
      <c r="K45" s="157" t="s">
        <v>393</v>
      </c>
      <c r="L45" s="158"/>
      <c r="M45" s="158"/>
      <c r="N45" s="15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1"/>
      <c r="B46" s="154">
        <f t="shared" si="1"/>
        <v>43</v>
      </c>
      <c r="C46" s="155">
        <f>基本情報!$C$3+B46-1</f>
        <v>2064</v>
      </c>
      <c r="D46" s="155">
        <f>IF(基本情報!$D$6="","",C46-YEAR(基本情報!$D$6)-IF(OR(MONTH(基本情報!$D$6)&gt;1,DAY(基本情報!$D$6)&gt;1),1,0))</f>
        <v>77</v>
      </c>
      <c r="E46" s="155">
        <f>IF(基本情報!$D$7="","",C46-YEAR(基本情報!$D$7)-IF(OR(MONTH(基本情報!$D$7)&gt;1,DAY(基本情報!$D$7)&gt;1),1,0))</f>
        <v>76</v>
      </c>
      <c r="F46" s="155">
        <f>IF(OR(基本情報!$D$8="",C46&lt;=YEAR(基本情報!$D$8)),"",MAX(0,C46-YEAR(基本情報!$D$8)-IF(OR(MONTH(基本情報!$D$8)&gt;1,DAY(基本情報!$D$8)&gt;1),1,0)))</f>
        <v>45</v>
      </c>
      <c r="G46" s="155">
        <f>IF(OR(基本情報!$D$9="",C46&lt;=YEAR(基本情報!$D$9)),"",MAX(0,C46-YEAR(基本情報!$D$9)-IF(OR(MONTH(基本情報!$D$9)&gt;1,DAY(基本情報!$D$9)&gt;1),1,0)))</f>
        <v>43</v>
      </c>
      <c r="H46" s="155">
        <f>IF(OR(基本情報!$D$10="",C46&lt;=YEAR(基本情報!$D$10)),"",MAX(0,C46-YEAR(基本情報!$D$10)-IF(OR(MONTH(基本情報!$D$10)&gt;1,DAY(基本情報!$D$10)&gt;1),1,0)))</f>
        <v>36</v>
      </c>
      <c r="I46" s="156">
        <f>IF(OR(基本情報!$D$11="",C46&lt;=YEAR(基本情報!$D$11)),"",MAX(0,C46-YEAR(基本情報!$D$11)-IF(OR(MONTH(基本情報!$D$11)&gt;1,DAY(基本情報!$D$11)&gt;1),1,0)))</f>
        <v>34</v>
      </c>
      <c r="J46" s="156">
        <f>IF(OR(基本情報!$D$12="",C46&lt;=YEAR(基本情報!$D$12)),"",MAX(0,C46-YEAR(基本情報!$D$12)-IF(OR(MONTH(基本情報!$D$12)&gt;1,DAY(基本情報!$D$12)&gt;1),1,0)))</f>
        <v>32</v>
      </c>
      <c r="K46" s="157" t="s">
        <v>393</v>
      </c>
      <c r="L46" s="158"/>
      <c r="M46" s="158"/>
      <c r="N46" s="15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1"/>
      <c r="B47" s="154">
        <f t="shared" si="1"/>
        <v>44</v>
      </c>
      <c r="C47" s="155">
        <f>基本情報!$C$3+B47-1</f>
        <v>2065</v>
      </c>
      <c r="D47" s="155">
        <f>IF(基本情報!$D$6="","",C47-YEAR(基本情報!$D$6)-IF(OR(MONTH(基本情報!$D$6)&gt;1,DAY(基本情報!$D$6)&gt;1),1,0))</f>
        <v>78</v>
      </c>
      <c r="E47" s="155">
        <f>IF(基本情報!$D$7="","",C47-YEAR(基本情報!$D$7)-IF(OR(MONTH(基本情報!$D$7)&gt;1,DAY(基本情報!$D$7)&gt;1),1,0))</f>
        <v>77</v>
      </c>
      <c r="F47" s="155">
        <f>IF(OR(基本情報!$D$8="",C47&lt;=YEAR(基本情報!$D$8)),"",MAX(0,C47-YEAR(基本情報!$D$8)-IF(OR(MONTH(基本情報!$D$8)&gt;1,DAY(基本情報!$D$8)&gt;1),1,0)))</f>
        <v>46</v>
      </c>
      <c r="G47" s="155">
        <f>IF(OR(基本情報!$D$9="",C47&lt;=YEAR(基本情報!$D$9)),"",MAX(0,C47-YEAR(基本情報!$D$9)-IF(OR(MONTH(基本情報!$D$9)&gt;1,DAY(基本情報!$D$9)&gt;1),1,0)))</f>
        <v>44</v>
      </c>
      <c r="H47" s="155">
        <f>IF(OR(基本情報!$D$10="",C47&lt;=YEAR(基本情報!$D$10)),"",MAX(0,C47-YEAR(基本情報!$D$10)-IF(OR(MONTH(基本情報!$D$10)&gt;1,DAY(基本情報!$D$10)&gt;1),1,0)))</f>
        <v>37</v>
      </c>
      <c r="I47" s="156">
        <f>IF(OR(基本情報!$D$11="",C47&lt;=YEAR(基本情報!$D$11)),"",MAX(0,C47-YEAR(基本情報!$D$11)-IF(OR(MONTH(基本情報!$D$11)&gt;1,DAY(基本情報!$D$11)&gt;1),1,0)))</f>
        <v>35</v>
      </c>
      <c r="J47" s="156">
        <f>IF(OR(基本情報!$D$12="",C47&lt;=YEAR(基本情報!$D$12)),"",MAX(0,C47-YEAR(基本情報!$D$12)-IF(OR(MONTH(基本情報!$D$12)&gt;1,DAY(基本情報!$D$12)&gt;1),1,0)))</f>
        <v>33</v>
      </c>
      <c r="K47" s="157" t="s">
        <v>393</v>
      </c>
      <c r="L47" s="158"/>
      <c r="M47" s="158"/>
      <c r="N47" s="15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1"/>
      <c r="B48" s="154">
        <f t="shared" si="1"/>
        <v>45</v>
      </c>
      <c r="C48" s="155">
        <f>基本情報!$C$3+B48-1</f>
        <v>2066</v>
      </c>
      <c r="D48" s="155">
        <f>IF(基本情報!$D$6="","",C48-YEAR(基本情報!$D$6)-IF(OR(MONTH(基本情報!$D$6)&gt;1,DAY(基本情報!$D$6)&gt;1),1,0))</f>
        <v>79</v>
      </c>
      <c r="E48" s="155">
        <f>IF(基本情報!$D$7="","",C48-YEAR(基本情報!$D$7)-IF(OR(MONTH(基本情報!$D$7)&gt;1,DAY(基本情報!$D$7)&gt;1),1,0))</f>
        <v>78</v>
      </c>
      <c r="F48" s="155">
        <f>IF(OR(基本情報!$D$8="",C48&lt;=YEAR(基本情報!$D$8)),"",MAX(0,C48-YEAR(基本情報!$D$8)-IF(OR(MONTH(基本情報!$D$8)&gt;1,DAY(基本情報!$D$8)&gt;1),1,0)))</f>
        <v>47</v>
      </c>
      <c r="G48" s="155">
        <f>IF(OR(基本情報!$D$9="",C48&lt;=YEAR(基本情報!$D$9)),"",MAX(0,C48-YEAR(基本情報!$D$9)-IF(OR(MONTH(基本情報!$D$9)&gt;1,DAY(基本情報!$D$9)&gt;1),1,0)))</f>
        <v>45</v>
      </c>
      <c r="H48" s="155">
        <f>IF(OR(基本情報!$D$10="",C48&lt;=YEAR(基本情報!$D$10)),"",MAX(0,C48-YEAR(基本情報!$D$10)-IF(OR(MONTH(基本情報!$D$10)&gt;1,DAY(基本情報!$D$10)&gt;1),1,0)))</f>
        <v>38</v>
      </c>
      <c r="I48" s="156">
        <f>IF(OR(基本情報!$D$11="",C48&lt;=YEAR(基本情報!$D$11)),"",MAX(0,C48-YEAR(基本情報!$D$11)-IF(OR(MONTH(基本情報!$D$11)&gt;1,DAY(基本情報!$D$11)&gt;1),1,0)))</f>
        <v>36</v>
      </c>
      <c r="J48" s="156">
        <f>IF(OR(基本情報!$D$12="",C48&lt;=YEAR(基本情報!$D$12)),"",MAX(0,C48-YEAR(基本情報!$D$12)-IF(OR(MONTH(基本情報!$D$12)&gt;1,DAY(基本情報!$D$12)&gt;1),1,0)))</f>
        <v>34</v>
      </c>
      <c r="K48" s="157" t="s">
        <v>393</v>
      </c>
      <c r="L48" s="158"/>
      <c r="M48" s="158"/>
      <c r="N48" s="15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>
      <c r="A49" s="1"/>
      <c r="B49" s="154">
        <f t="shared" si="1"/>
        <v>46</v>
      </c>
      <c r="C49" s="155">
        <f>基本情報!$C$3+B49-1</f>
        <v>2067</v>
      </c>
      <c r="D49" s="155">
        <f>IF(基本情報!$D$6="","",C49-YEAR(基本情報!$D$6)-IF(OR(MONTH(基本情報!$D$6)&gt;1,DAY(基本情報!$D$6)&gt;1),1,0))</f>
        <v>80</v>
      </c>
      <c r="E49" s="155">
        <f>IF(基本情報!$D$7="","",C49-YEAR(基本情報!$D$7)-IF(OR(MONTH(基本情報!$D$7)&gt;1,DAY(基本情報!$D$7)&gt;1),1,0))</f>
        <v>79</v>
      </c>
      <c r="F49" s="155">
        <f>IF(OR(基本情報!$D$8="",C49&lt;=YEAR(基本情報!$D$8)),"",MAX(0,C49-YEAR(基本情報!$D$8)-IF(OR(MONTH(基本情報!$D$8)&gt;1,DAY(基本情報!$D$8)&gt;1),1,0)))</f>
        <v>48</v>
      </c>
      <c r="G49" s="155">
        <f>IF(OR(基本情報!$D$9="",C49&lt;=YEAR(基本情報!$D$9)),"",MAX(0,C49-YEAR(基本情報!$D$9)-IF(OR(MONTH(基本情報!$D$9)&gt;1,DAY(基本情報!$D$9)&gt;1),1,0)))</f>
        <v>46</v>
      </c>
      <c r="H49" s="155">
        <f>IF(OR(基本情報!$D$10="",C49&lt;=YEAR(基本情報!$D$10)),"",MAX(0,C49-YEAR(基本情報!$D$10)-IF(OR(MONTH(基本情報!$D$10)&gt;1,DAY(基本情報!$D$10)&gt;1),1,0)))</f>
        <v>39</v>
      </c>
      <c r="I49" s="156">
        <f>IF(OR(基本情報!$D$11="",C49&lt;=YEAR(基本情報!$D$11)),"",MAX(0,C49-YEAR(基本情報!$D$11)-IF(OR(MONTH(基本情報!$D$11)&gt;1,DAY(基本情報!$D$11)&gt;1),1,0)))</f>
        <v>37</v>
      </c>
      <c r="J49" s="156">
        <f>IF(OR(基本情報!$D$12="",C49&lt;=YEAR(基本情報!$D$12)),"",MAX(0,C49-YEAR(基本情報!$D$12)-IF(OR(MONTH(基本情報!$D$12)&gt;1,DAY(基本情報!$D$12)&gt;1),1,0)))</f>
        <v>35</v>
      </c>
      <c r="K49" s="157" t="s">
        <v>393</v>
      </c>
      <c r="L49" s="159" t="s">
        <v>397</v>
      </c>
      <c r="M49" s="158"/>
      <c r="N49" s="158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>
      <c r="A50" s="1"/>
      <c r="B50" s="154">
        <f t="shared" si="1"/>
        <v>47</v>
      </c>
      <c r="C50" s="155">
        <f>基本情報!$C$3+B50-1</f>
        <v>2068</v>
      </c>
      <c r="D50" s="155">
        <f>IF(基本情報!$D$6="","",C50-YEAR(基本情報!$D$6)-IF(OR(MONTH(基本情報!$D$6)&gt;1,DAY(基本情報!$D$6)&gt;1),1,0))</f>
        <v>81</v>
      </c>
      <c r="E50" s="155">
        <f>IF(基本情報!$D$7="","",C50-YEAR(基本情報!$D$7)-IF(OR(MONTH(基本情報!$D$7)&gt;1,DAY(基本情報!$D$7)&gt;1),1,0))</f>
        <v>80</v>
      </c>
      <c r="F50" s="155">
        <f>IF(OR(基本情報!$D$8="",C50&lt;=YEAR(基本情報!$D$8)),"",MAX(0,C50-YEAR(基本情報!$D$8)-IF(OR(MONTH(基本情報!$D$8)&gt;1,DAY(基本情報!$D$8)&gt;1),1,0)))</f>
        <v>49</v>
      </c>
      <c r="G50" s="155">
        <f>IF(OR(基本情報!$D$9="",C50&lt;=YEAR(基本情報!$D$9)),"",MAX(0,C50-YEAR(基本情報!$D$9)-IF(OR(MONTH(基本情報!$D$9)&gt;1,DAY(基本情報!$D$9)&gt;1),1,0)))</f>
        <v>47</v>
      </c>
      <c r="H50" s="155">
        <f>IF(OR(基本情報!$D$10="",C50&lt;=YEAR(基本情報!$D$10)),"",MAX(0,C50-YEAR(基本情報!$D$10)-IF(OR(MONTH(基本情報!$D$10)&gt;1,DAY(基本情報!$D$10)&gt;1),1,0)))</f>
        <v>40</v>
      </c>
      <c r="I50" s="156">
        <f>IF(OR(基本情報!$D$11="",C50&lt;=YEAR(基本情報!$D$11)),"",MAX(0,C50-YEAR(基本情報!$D$11)-IF(OR(MONTH(基本情報!$D$11)&gt;1,DAY(基本情報!$D$11)&gt;1),1,0)))</f>
        <v>38</v>
      </c>
      <c r="J50" s="156">
        <f>IF(OR(基本情報!$D$12="",C50&lt;=YEAR(基本情報!$D$12)),"",MAX(0,C50-YEAR(基本情報!$D$12)-IF(OR(MONTH(基本情報!$D$12)&gt;1,DAY(基本情報!$D$12)&gt;1),1,0)))</f>
        <v>36</v>
      </c>
      <c r="K50" s="157" t="s">
        <v>393</v>
      </c>
      <c r="L50" s="158"/>
      <c r="M50" s="158"/>
      <c r="N50" s="15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>
      <c r="A51" s="1"/>
      <c r="B51" s="154">
        <f t="shared" si="1"/>
        <v>48</v>
      </c>
      <c r="C51" s="155">
        <f>基本情報!$C$3+B51-1</f>
        <v>2069</v>
      </c>
      <c r="D51" s="155">
        <f>IF(基本情報!$D$6="","",C51-YEAR(基本情報!$D$6)-IF(OR(MONTH(基本情報!$D$6)&gt;1,DAY(基本情報!$D$6)&gt;1),1,0))</f>
        <v>82</v>
      </c>
      <c r="E51" s="155">
        <f>IF(基本情報!$D$7="","",C51-YEAR(基本情報!$D$7)-IF(OR(MONTH(基本情報!$D$7)&gt;1,DAY(基本情報!$D$7)&gt;1),1,0))</f>
        <v>81</v>
      </c>
      <c r="F51" s="155">
        <f>IF(OR(基本情報!$D$8="",C51&lt;=YEAR(基本情報!$D$8)),"",MAX(0,C51-YEAR(基本情報!$D$8)-IF(OR(MONTH(基本情報!$D$8)&gt;1,DAY(基本情報!$D$8)&gt;1),1,0)))</f>
        <v>50</v>
      </c>
      <c r="G51" s="155">
        <f>IF(OR(基本情報!$D$9="",C51&lt;=YEAR(基本情報!$D$9)),"",MAX(0,C51-YEAR(基本情報!$D$9)-IF(OR(MONTH(基本情報!$D$9)&gt;1,DAY(基本情報!$D$9)&gt;1),1,0)))</f>
        <v>48</v>
      </c>
      <c r="H51" s="155">
        <f>IF(OR(基本情報!$D$10="",C51&lt;=YEAR(基本情報!$D$10)),"",MAX(0,C51-YEAR(基本情報!$D$10)-IF(OR(MONTH(基本情報!$D$10)&gt;1,DAY(基本情報!$D$10)&gt;1),1,0)))</f>
        <v>41</v>
      </c>
      <c r="I51" s="156">
        <f>IF(OR(基本情報!$D$11="",C51&lt;=YEAR(基本情報!$D$11)),"",MAX(0,C51-YEAR(基本情報!$D$11)-IF(OR(MONTH(基本情報!$D$11)&gt;1,DAY(基本情報!$D$11)&gt;1),1,0)))</f>
        <v>39</v>
      </c>
      <c r="J51" s="156">
        <f>IF(OR(基本情報!$D$12="",C51&lt;=YEAR(基本情報!$D$12)),"",MAX(0,C51-YEAR(基本情報!$D$12)-IF(OR(MONTH(基本情報!$D$12)&gt;1,DAY(基本情報!$D$12)&gt;1),1,0)))</f>
        <v>37</v>
      </c>
      <c r="K51" s="157" t="s">
        <v>393</v>
      </c>
      <c r="L51" s="158"/>
      <c r="M51" s="158"/>
      <c r="N51" s="158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>
      <c r="A52" s="1"/>
      <c r="B52" s="154">
        <f t="shared" si="1"/>
        <v>49</v>
      </c>
      <c r="C52" s="155">
        <f>基本情報!$C$3+B52-1</f>
        <v>2070</v>
      </c>
      <c r="D52" s="155">
        <f>IF(基本情報!$D$6="","",C52-YEAR(基本情報!$D$6)-IF(OR(MONTH(基本情報!$D$6)&gt;1,DAY(基本情報!$D$6)&gt;1),1,0))</f>
        <v>83</v>
      </c>
      <c r="E52" s="155">
        <f>IF(基本情報!$D$7="","",C52-YEAR(基本情報!$D$7)-IF(OR(MONTH(基本情報!$D$7)&gt;1,DAY(基本情報!$D$7)&gt;1),1,0))</f>
        <v>82</v>
      </c>
      <c r="F52" s="155">
        <f>IF(OR(基本情報!$D$8="",C52&lt;=YEAR(基本情報!$D$8)),"",MAX(0,C52-YEAR(基本情報!$D$8)-IF(OR(MONTH(基本情報!$D$8)&gt;1,DAY(基本情報!$D$8)&gt;1),1,0)))</f>
        <v>51</v>
      </c>
      <c r="G52" s="155">
        <f>IF(OR(基本情報!$D$9="",C52&lt;=YEAR(基本情報!$D$9)),"",MAX(0,C52-YEAR(基本情報!$D$9)-IF(OR(MONTH(基本情報!$D$9)&gt;1,DAY(基本情報!$D$9)&gt;1),1,0)))</f>
        <v>49</v>
      </c>
      <c r="H52" s="155">
        <f>IF(OR(基本情報!$D$10="",C52&lt;=YEAR(基本情報!$D$10)),"",MAX(0,C52-YEAR(基本情報!$D$10)-IF(OR(MONTH(基本情報!$D$10)&gt;1,DAY(基本情報!$D$10)&gt;1),1,0)))</f>
        <v>42</v>
      </c>
      <c r="I52" s="156">
        <f>IF(OR(基本情報!$D$11="",C52&lt;=YEAR(基本情報!$D$11)),"",MAX(0,C52-YEAR(基本情報!$D$11)-IF(OR(MONTH(基本情報!$D$11)&gt;1,DAY(基本情報!$D$11)&gt;1),1,0)))</f>
        <v>40</v>
      </c>
      <c r="J52" s="156">
        <f>IF(OR(基本情報!$D$12="",C52&lt;=YEAR(基本情報!$D$12)),"",MAX(0,C52-YEAR(基本情報!$D$12)-IF(OR(MONTH(基本情報!$D$12)&gt;1,DAY(基本情報!$D$12)&gt;1),1,0)))</f>
        <v>38</v>
      </c>
      <c r="K52" s="157" t="s">
        <v>393</v>
      </c>
      <c r="L52" s="158"/>
      <c r="M52" s="158"/>
      <c r="N52" s="158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>
      <c r="A53" s="1"/>
      <c r="B53" s="154">
        <f t="shared" si="1"/>
        <v>50</v>
      </c>
      <c r="C53" s="155">
        <f>基本情報!$C$3+B53-1</f>
        <v>2071</v>
      </c>
      <c r="D53" s="155">
        <f>IF(基本情報!$D$6="","",C53-YEAR(基本情報!$D$6)-IF(OR(MONTH(基本情報!$D$6)&gt;1,DAY(基本情報!$D$6)&gt;1),1,0))</f>
        <v>84</v>
      </c>
      <c r="E53" s="155">
        <f>IF(基本情報!$D$7="","",C53-YEAR(基本情報!$D$7)-IF(OR(MONTH(基本情報!$D$7)&gt;1,DAY(基本情報!$D$7)&gt;1),1,0))</f>
        <v>83</v>
      </c>
      <c r="F53" s="155">
        <f>IF(OR(基本情報!$D$8="",C53&lt;=YEAR(基本情報!$D$8)),"",MAX(0,C53-YEAR(基本情報!$D$8)-IF(OR(MONTH(基本情報!$D$8)&gt;1,DAY(基本情報!$D$8)&gt;1),1,0)))</f>
        <v>52</v>
      </c>
      <c r="G53" s="155">
        <f>IF(OR(基本情報!$D$9="",C53&lt;=YEAR(基本情報!$D$9)),"",MAX(0,C53-YEAR(基本情報!$D$9)-IF(OR(MONTH(基本情報!$D$9)&gt;1,DAY(基本情報!$D$9)&gt;1),1,0)))</f>
        <v>50</v>
      </c>
      <c r="H53" s="155">
        <f>IF(OR(基本情報!$D$10="",C53&lt;=YEAR(基本情報!$D$10)),"",MAX(0,C53-YEAR(基本情報!$D$10)-IF(OR(MONTH(基本情報!$D$10)&gt;1,DAY(基本情報!$D$10)&gt;1),1,0)))</f>
        <v>43</v>
      </c>
      <c r="I53" s="156">
        <f>IF(OR(基本情報!$D$11="",C53&lt;=YEAR(基本情報!$D$11)),"",MAX(0,C53-YEAR(基本情報!$D$11)-IF(OR(MONTH(基本情報!$D$11)&gt;1,DAY(基本情報!$D$11)&gt;1),1,0)))</f>
        <v>41</v>
      </c>
      <c r="J53" s="156">
        <f>IF(OR(基本情報!$D$12="",C53&lt;=YEAR(基本情報!$D$12)),"",MAX(0,C53-YEAR(基本情報!$D$12)-IF(OR(MONTH(基本情報!$D$12)&gt;1,DAY(基本情報!$D$12)&gt;1),1,0)))</f>
        <v>39</v>
      </c>
      <c r="K53" s="157" t="s">
        <v>393</v>
      </c>
      <c r="L53" s="158"/>
      <c r="M53" s="158"/>
      <c r="N53" s="158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1"/>
      <c r="B54" s="154">
        <f t="shared" si="1"/>
        <v>51</v>
      </c>
      <c r="C54" s="155">
        <f>基本情報!$C$3+B54-1</f>
        <v>2072</v>
      </c>
      <c r="D54" s="155">
        <f>IF(基本情報!$D$6="","",C54-YEAR(基本情報!$D$6)-IF(OR(MONTH(基本情報!$D$6)&gt;1,DAY(基本情報!$D$6)&gt;1),1,0))</f>
        <v>85</v>
      </c>
      <c r="E54" s="155">
        <f>IF(基本情報!$D$7="","",C54-YEAR(基本情報!$D$7)-IF(OR(MONTH(基本情報!$D$7)&gt;1,DAY(基本情報!$D$7)&gt;1),1,0))</f>
        <v>84</v>
      </c>
      <c r="F54" s="155">
        <f>IF(OR(基本情報!$D$8="",C54&lt;=YEAR(基本情報!$D$8)),"",MAX(0,C54-YEAR(基本情報!$D$8)-IF(OR(MONTH(基本情報!$D$8)&gt;1,DAY(基本情報!$D$8)&gt;1),1,0)))</f>
        <v>53</v>
      </c>
      <c r="G54" s="155">
        <f>IF(OR(基本情報!$D$9="",C54&lt;=YEAR(基本情報!$D$9)),"",MAX(0,C54-YEAR(基本情報!$D$9)-IF(OR(MONTH(基本情報!$D$9)&gt;1,DAY(基本情報!$D$9)&gt;1),1,0)))</f>
        <v>51</v>
      </c>
      <c r="H54" s="155">
        <f>IF(OR(基本情報!$D$10="",C54&lt;=YEAR(基本情報!$D$10)),"",MAX(0,C54-YEAR(基本情報!$D$10)-IF(OR(MONTH(基本情報!$D$10)&gt;1,DAY(基本情報!$D$10)&gt;1),1,0)))</f>
        <v>44</v>
      </c>
      <c r="I54" s="156">
        <f>IF(OR(基本情報!$D$11="",C54&lt;=YEAR(基本情報!$D$11)),"",MAX(0,C54-YEAR(基本情報!$D$11)-IF(OR(MONTH(基本情報!$D$11)&gt;1,DAY(基本情報!$D$11)&gt;1),1,0)))</f>
        <v>42</v>
      </c>
      <c r="J54" s="156">
        <f>IF(OR(基本情報!$D$12="",C54&lt;=YEAR(基本情報!$D$12)),"",MAX(0,C54-YEAR(基本情報!$D$12)-IF(OR(MONTH(基本情報!$D$12)&gt;1,DAY(基本情報!$D$12)&gt;1),1,0)))</f>
        <v>40</v>
      </c>
      <c r="K54" s="157" t="s">
        <v>398</v>
      </c>
      <c r="L54" s="158"/>
      <c r="M54" s="158"/>
      <c r="N54" s="158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1"/>
      <c r="B55" s="154">
        <f t="shared" si="1"/>
        <v>52</v>
      </c>
      <c r="C55" s="155">
        <f>基本情報!$C$3+B55-1</f>
        <v>2073</v>
      </c>
      <c r="D55" s="155">
        <f>IF(基本情報!$D$6="","",C55-YEAR(基本情報!$D$6)-IF(OR(MONTH(基本情報!$D$6)&gt;1,DAY(基本情報!$D$6)&gt;1),1,0))</f>
        <v>86</v>
      </c>
      <c r="E55" s="155">
        <f>IF(基本情報!$D$7="","",C55-YEAR(基本情報!$D$7)-IF(OR(MONTH(基本情報!$D$7)&gt;1,DAY(基本情報!$D$7)&gt;1),1,0))</f>
        <v>85</v>
      </c>
      <c r="F55" s="155">
        <f>IF(OR(基本情報!$D$8="",C55&lt;=YEAR(基本情報!$D$8)),"",MAX(0,C55-YEAR(基本情報!$D$8)-IF(OR(MONTH(基本情報!$D$8)&gt;1,DAY(基本情報!$D$8)&gt;1),1,0)))</f>
        <v>54</v>
      </c>
      <c r="G55" s="155">
        <f>IF(OR(基本情報!$D$9="",C55&lt;=YEAR(基本情報!$D$9)),"",MAX(0,C55-YEAR(基本情報!$D$9)-IF(OR(MONTH(基本情報!$D$9)&gt;1,DAY(基本情報!$D$9)&gt;1),1,0)))</f>
        <v>52</v>
      </c>
      <c r="H55" s="155">
        <f>IF(OR(基本情報!$D$10="",C55&lt;=YEAR(基本情報!$D$10)),"",MAX(0,C55-YEAR(基本情報!$D$10)-IF(OR(MONTH(基本情報!$D$10)&gt;1,DAY(基本情報!$D$10)&gt;1),1,0)))</f>
        <v>45</v>
      </c>
      <c r="I55" s="156">
        <f>IF(OR(基本情報!$D$11="",C55&lt;=YEAR(基本情報!$D$11)),"",MAX(0,C55-YEAR(基本情報!$D$11)-IF(OR(MONTH(基本情報!$D$11)&gt;1,DAY(基本情報!$D$11)&gt;1),1,0)))</f>
        <v>43</v>
      </c>
      <c r="J55" s="156">
        <f>IF(OR(基本情報!$D$12="",C55&lt;=YEAR(基本情報!$D$12)),"",MAX(0,C55-YEAR(基本情報!$D$12)-IF(OR(MONTH(基本情報!$D$12)&gt;1,DAY(基本情報!$D$12)&gt;1),1,0)))</f>
        <v>41</v>
      </c>
      <c r="K55" s="157" t="s">
        <v>398</v>
      </c>
      <c r="L55" s="158"/>
      <c r="M55" s="158"/>
      <c r="N55" s="158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>
      <c r="A56" s="1"/>
      <c r="B56" s="154">
        <f t="shared" si="1"/>
        <v>53</v>
      </c>
      <c r="C56" s="155">
        <f>基本情報!$C$3+B56-1</f>
        <v>2074</v>
      </c>
      <c r="D56" s="155">
        <f>IF(基本情報!$D$6="","",C56-YEAR(基本情報!$D$6)-IF(OR(MONTH(基本情報!$D$6)&gt;1,DAY(基本情報!$D$6)&gt;1),1,0))</f>
        <v>87</v>
      </c>
      <c r="E56" s="155">
        <f>IF(基本情報!$D$7="","",C56-YEAR(基本情報!$D$7)-IF(OR(MONTH(基本情報!$D$7)&gt;1,DAY(基本情報!$D$7)&gt;1),1,0))</f>
        <v>86</v>
      </c>
      <c r="F56" s="155">
        <f>IF(OR(基本情報!$D$8="",C56&lt;=YEAR(基本情報!$D$8)),"",MAX(0,C56-YEAR(基本情報!$D$8)-IF(OR(MONTH(基本情報!$D$8)&gt;1,DAY(基本情報!$D$8)&gt;1),1,0)))</f>
        <v>55</v>
      </c>
      <c r="G56" s="155">
        <f>IF(OR(基本情報!$D$9="",C56&lt;=YEAR(基本情報!$D$9)),"",MAX(0,C56-YEAR(基本情報!$D$9)-IF(OR(MONTH(基本情報!$D$9)&gt;1,DAY(基本情報!$D$9)&gt;1),1,0)))</f>
        <v>53</v>
      </c>
      <c r="H56" s="155">
        <f>IF(OR(基本情報!$D$10="",C56&lt;=YEAR(基本情報!$D$10)),"",MAX(0,C56-YEAR(基本情報!$D$10)-IF(OR(MONTH(基本情報!$D$10)&gt;1,DAY(基本情報!$D$10)&gt;1),1,0)))</f>
        <v>46</v>
      </c>
      <c r="I56" s="156">
        <f>IF(OR(基本情報!$D$11="",C56&lt;=YEAR(基本情報!$D$11)),"",MAX(0,C56-YEAR(基本情報!$D$11)-IF(OR(MONTH(基本情報!$D$11)&gt;1,DAY(基本情報!$D$11)&gt;1),1,0)))</f>
        <v>44</v>
      </c>
      <c r="J56" s="156">
        <f>IF(OR(基本情報!$D$12="",C56&lt;=YEAR(基本情報!$D$12)),"",MAX(0,C56-YEAR(基本情報!$D$12)-IF(OR(MONTH(基本情報!$D$12)&gt;1,DAY(基本情報!$D$12)&gt;1),1,0)))</f>
        <v>42</v>
      </c>
      <c r="K56" s="157" t="s">
        <v>398</v>
      </c>
      <c r="L56" s="158"/>
      <c r="M56" s="158"/>
      <c r="N56" s="158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1"/>
      <c r="B57" s="154">
        <f t="shared" si="1"/>
        <v>54</v>
      </c>
      <c r="C57" s="155">
        <f>基本情報!$C$3+B57-1</f>
        <v>2075</v>
      </c>
      <c r="D57" s="155">
        <f>IF(基本情報!$D$6="","",C57-YEAR(基本情報!$D$6)-IF(OR(MONTH(基本情報!$D$6)&gt;1,DAY(基本情報!$D$6)&gt;1),1,0))</f>
        <v>88</v>
      </c>
      <c r="E57" s="155">
        <f>IF(基本情報!$D$7="","",C57-YEAR(基本情報!$D$7)-IF(OR(MONTH(基本情報!$D$7)&gt;1,DAY(基本情報!$D$7)&gt;1),1,0))</f>
        <v>87</v>
      </c>
      <c r="F57" s="155">
        <f>IF(OR(基本情報!$D$8="",C57&lt;=YEAR(基本情報!$D$8)),"",MAX(0,C57-YEAR(基本情報!$D$8)-IF(OR(MONTH(基本情報!$D$8)&gt;1,DAY(基本情報!$D$8)&gt;1),1,0)))</f>
        <v>56</v>
      </c>
      <c r="G57" s="155">
        <f>IF(OR(基本情報!$D$9="",C57&lt;=YEAR(基本情報!$D$9)),"",MAX(0,C57-YEAR(基本情報!$D$9)-IF(OR(MONTH(基本情報!$D$9)&gt;1,DAY(基本情報!$D$9)&gt;1),1,0)))</f>
        <v>54</v>
      </c>
      <c r="H57" s="155">
        <f>IF(OR(基本情報!$D$10="",C57&lt;=YEAR(基本情報!$D$10)),"",MAX(0,C57-YEAR(基本情報!$D$10)-IF(OR(MONTH(基本情報!$D$10)&gt;1,DAY(基本情報!$D$10)&gt;1),1,0)))</f>
        <v>47</v>
      </c>
      <c r="I57" s="156">
        <f>IF(OR(基本情報!$D$11="",C57&lt;=YEAR(基本情報!$D$11)),"",MAX(0,C57-YEAR(基本情報!$D$11)-IF(OR(MONTH(基本情報!$D$11)&gt;1,DAY(基本情報!$D$11)&gt;1),1,0)))</f>
        <v>45</v>
      </c>
      <c r="J57" s="156">
        <f>IF(OR(基本情報!$D$12="",C57&lt;=YEAR(基本情報!$D$12)),"",MAX(0,C57-YEAR(基本情報!$D$12)-IF(OR(MONTH(基本情報!$D$12)&gt;1,DAY(基本情報!$D$12)&gt;1),1,0)))</f>
        <v>43</v>
      </c>
      <c r="K57" s="157" t="s">
        <v>398</v>
      </c>
      <c r="L57" s="158"/>
      <c r="M57" s="158"/>
      <c r="N57" s="158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>
      <c r="A58" s="1"/>
      <c r="B58" s="154">
        <f t="shared" si="1"/>
        <v>55</v>
      </c>
      <c r="C58" s="155">
        <f>基本情報!$C$3+B58-1</f>
        <v>2076</v>
      </c>
      <c r="D58" s="155">
        <f>IF(基本情報!$D$6="","",C58-YEAR(基本情報!$D$6)-IF(OR(MONTH(基本情報!$D$6)&gt;1,DAY(基本情報!$D$6)&gt;1),1,0))</f>
        <v>89</v>
      </c>
      <c r="E58" s="155">
        <f>IF(基本情報!$D$7="","",C58-YEAR(基本情報!$D$7)-IF(OR(MONTH(基本情報!$D$7)&gt;1,DAY(基本情報!$D$7)&gt;1),1,0))</f>
        <v>88</v>
      </c>
      <c r="F58" s="155">
        <f>IF(OR(基本情報!$D$8="",C58&lt;=YEAR(基本情報!$D$8)),"",MAX(0,C58-YEAR(基本情報!$D$8)-IF(OR(MONTH(基本情報!$D$8)&gt;1,DAY(基本情報!$D$8)&gt;1),1,0)))</f>
        <v>57</v>
      </c>
      <c r="G58" s="155">
        <f>IF(OR(基本情報!$D$9="",C58&lt;=YEAR(基本情報!$D$9)),"",MAX(0,C58-YEAR(基本情報!$D$9)-IF(OR(MONTH(基本情報!$D$9)&gt;1,DAY(基本情報!$D$9)&gt;1),1,0)))</f>
        <v>55</v>
      </c>
      <c r="H58" s="155">
        <f>IF(OR(基本情報!$D$10="",C58&lt;=YEAR(基本情報!$D$10)),"",MAX(0,C58-YEAR(基本情報!$D$10)-IF(OR(MONTH(基本情報!$D$10)&gt;1,DAY(基本情報!$D$10)&gt;1),1,0)))</f>
        <v>48</v>
      </c>
      <c r="I58" s="156">
        <f>IF(OR(基本情報!$D$11="",C58&lt;=YEAR(基本情報!$D$11)),"",MAX(0,C58-YEAR(基本情報!$D$11)-IF(OR(MONTH(基本情報!$D$11)&gt;1,DAY(基本情報!$D$11)&gt;1),1,0)))</f>
        <v>46</v>
      </c>
      <c r="J58" s="156">
        <f>IF(OR(基本情報!$D$12="",C58&lt;=YEAR(基本情報!$D$12)),"",MAX(0,C58-YEAR(基本情報!$D$12)-IF(OR(MONTH(基本情報!$D$12)&gt;1,DAY(基本情報!$D$12)&gt;1),1,0)))</f>
        <v>44</v>
      </c>
      <c r="K58" s="157" t="s">
        <v>398</v>
      </c>
      <c r="L58" s="158"/>
      <c r="M58" s="158"/>
      <c r="N58" s="158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>
      <c r="A59" s="1"/>
      <c r="B59" s="154">
        <f t="shared" si="1"/>
        <v>56</v>
      </c>
      <c r="C59" s="155">
        <f>基本情報!$C$3+B59-1</f>
        <v>2077</v>
      </c>
      <c r="D59" s="155">
        <f>IF(基本情報!$D$6="","",C59-YEAR(基本情報!$D$6)-IF(OR(MONTH(基本情報!$D$6)&gt;1,DAY(基本情報!$D$6)&gt;1),1,0))</f>
        <v>90</v>
      </c>
      <c r="E59" s="155">
        <f>IF(基本情報!$D$7="","",C59-YEAR(基本情報!$D$7)-IF(OR(MONTH(基本情報!$D$7)&gt;1,DAY(基本情報!$D$7)&gt;1),1,0))</f>
        <v>89</v>
      </c>
      <c r="F59" s="155">
        <f>IF(OR(基本情報!$D$8="",C59&lt;=YEAR(基本情報!$D$8)),"",MAX(0,C59-YEAR(基本情報!$D$8)-IF(OR(MONTH(基本情報!$D$8)&gt;1,DAY(基本情報!$D$8)&gt;1),1,0)))</f>
        <v>58</v>
      </c>
      <c r="G59" s="155">
        <f>IF(OR(基本情報!$D$9="",C59&lt;=YEAR(基本情報!$D$9)),"",MAX(0,C59-YEAR(基本情報!$D$9)-IF(OR(MONTH(基本情報!$D$9)&gt;1,DAY(基本情報!$D$9)&gt;1),1,0)))</f>
        <v>56</v>
      </c>
      <c r="H59" s="155">
        <f>IF(OR(基本情報!$D$10="",C59&lt;=YEAR(基本情報!$D$10)),"",MAX(0,C59-YEAR(基本情報!$D$10)-IF(OR(MONTH(基本情報!$D$10)&gt;1,DAY(基本情報!$D$10)&gt;1),1,0)))</f>
        <v>49</v>
      </c>
      <c r="I59" s="156">
        <f>IF(OR(基本情報!$D$11="",C59&lt;=YEAR(基本情報!$D$11)),"",MAX(0,C59-YEAR(基本情報!$D$11)-IF(OR(MONTH(基本情報!$D$11)&gt;1,DAY(基本情報!$D$11)&gt;1),1,0)))</f>
        <v>47</v>
      </c>
      <c r="J59" s="156">
        <f>IF(OR(基本情報!$D$12="",C59&lt;=YEAR(基本情報!$D$12)),"",MAX(0,C59-YEAR(基本情報!$D$12)-IF(OR(MONTH(基本情報!$D$12)&gt;1,DAY(基本情報!$D$12)&gt;1),1,0)))</f>
        <v>45</v>
      </c>
      <c r="K59" s="157" t="s">
        <v>398</v>
      </c>
      <c r="L59" s="158"/>
      <c r="M59" s="158"/>
      <c r="N59" s="158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>
      <c r="A60" s="1"/>
      <c r="B60" s="154">
        <f t="shared" si="1"/>
        <v>57</v>
      </c>
      <c r="C60" s="155">
        <f>基本情報!$C$3+B60-1</f>
        <v>2078</v>
      </c>
      <c r="D60" s="155">
        <f>IF(基本情報!$D$6="","",C60-YEAR(基本情報!$D$6)-IF(OR(MONTH(基本情報!$D$6)&gt;1,DAY(基本情報!$D$6)&gt;1),1,0))</f>
        <v>91</v>
      </c>
      <c r="E60" s="155">
        <f>IF(基本情報!$D$7="","",C60-YEAR(基本情報!$D$7)-IF(OR(MONTH(基本情報!$D$7)&gt;1,DAY(基本情報!$D$7)&gt;1),1,0))</f>
        <v>90</v>
      </c>
      <c r="F60" s="155">
        <f>IF(OR(基本情報!$D$8="",C60&lt;=YEAR(基本情報!$D$8)),"",MAX(0,C60-YEAR(基本情報!$D$8)-IF(OR(MONTH(基本情報!$D$8)&gt;1,DAY(基本情報!$D$8)&gt;1),1,0)))</f>
        <v>59</v>
      </c>
      <c r="G60" s="155">
        <f>IF(OR(基本情報!$D$9="",C60&lt;=YEAR(基本情報!$D$9)),"",MAX(0,C60-YEAR(基本情報!$D$9)-IF(OR(MONTH(基本情報!$D$9)&gt;1,DAY(基本情報!$D$9)&gt;1),1,0)))</f>
        <v>57</v>
      </c>
      <c r="H60" s="155">
        <f>IF(OR(基本情報!$D$10="",C60&lt;=YEAR(基本情報!$D$10)),"",MAX(0,C60-YEAR(基本情報!$D$10)-IF(OR(MONTH(基本情報!$D$10)&gt;1,DAY(基本情報!$D$10)&gt;1),1,0)))</f>
        <v>50</v>
      </c>
      <c r="I60" s="156">
        <f>IF(OR(基本情報!$D$11="",C60&lt;=YEAR(基本情報!$D$11)),"",MAX(0,C60-YEAR(基本情報!$D$11)-IF(OR(MONTH(基本情報!$D$11)&gt;1,DAY(基本情報!$D$11)&gt;1),1,0)))</f>
        <v>48</v>
      </c>
      <c r="J60" s="156">
        <f>IF(OR(基本情報!$D$12="",C60&lt;=YEAR(基本情報!$D$12)),"",MAX(0,C60-YEAR(基本情報!$D$12)-IF(OR(MONTH(基本情報!$D$12)&gt;1,DAY(基本情報!$D$12)&gt;1),1,0)))</f>
        <v>46</v>
      </c>
      <c r="K60" s="157" t="s">
        <v>398</v>
      </c>
      <c r="L60" s="158"/>
      <c r="M60" s="158"/>
      <c r="N60" s="158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>
      <c r="A61" s="1"/>
      <c r="B61" s="154">
        <f t="shared" si="1"/>
        <v>58</v>
      </c>
      <c r="C61" s="155">
        <f>基本情報!$C$3+B61-1</f>
        <v>2079</v>
      </c>
      <c r="D61" s="155">
        <f>IF(基本情報!$D$6="","",C61-YEAR(基本情報!$D$6)-IF(OR(MONTH(基本情報!$D$6)&gt;1,DAY(基本情報!$D$6)&gt;1),1,0))</f>
        <v>92</v>
      </c>
      <c r="E61" s="155">
        <f>IF(基本情報!$D$7="","",C61-YEAR(基本情報!$D$7)-IF(OR(MONTH(基本情報!$D$7)&gt;1,DAY(基本情報!$D$7)&gt;1),1,0))</f>
        <v>91</v>
      </c>
      <c r="F61" s="155">
        <f>IF(OR(基本情報!$D$8="",C61&lt;=YEAR(基本情報!$D$8)),"",MAX(0,C61-YEAR(基本情報!$D$8)-IF(OR(MONTH(基本情報!$D$8)&gt;1,DAY(基本情報!$D$8)&gt;1),1,0)))</f>
        <v>60</v>
      </c>
      <c r="G61" s="155">
        <f>IF(OR(基本情報!$D$9="",C61&lt;=YEAR(基本情報!$D$9)),"",MAX(0,C61-YEAR(基本情報!$D$9)-IF(OR(MONTH(基本情報!$D$9)&gt;1,DAY(基本情報!$D$9)&gt;1),1,0)))</f>
        <v>58</v>
      </c>
      <c r="H61" s="155">
        <f>IF(OR(基本情報!$D$10="",C61&lt;=YEAR(基本情報!$D$10)),"",MAX(0,C61-YEAR(基本情報!$D$10)-IF(OR(MONTH(基本情報!$D$10)&gt;1,DAY(基本情報!$D$10)&gt;1),1,0)))</f>
        <v>51</v>
      </c>
      <c r="I61" s="156">
        <f>IF(OR(基本情報!$D$11="",C61&lt;=YEAR(基本情報!$D$11)),"",MAX(0,C61-YEAR(基本情報!$D$11)-IF(OR(MONTH(基本情報!$D$11)&gt;1,DAY(基本情報!$D$11)&gt;1),1,0)))</f>
        <v>49</v>
      </c>
      <c r="J61" s="156">
        <f>IF(OR(基本情報!$D$12="",C61&lt;=YEAR(基本情報!$D$12)),"",MAX(0,C61-YEAR(基本情報!$D$12)-IF(OR(MONTH(基本情報!$D$12)&gt;1,DAY(基本情報!$D$12)&gt;1),1,0)))</f>
        <v>47</v>
      </c>
      <c r="K61" s="157" t="s">
        <v>398</v>
      </c>
      <c r="L61" s="158"/>
      <c r="M61" s="158"/>
      <c r="N61" s="158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>
      <c r="A62" s="1"/>
      <c r="B62" s="154">
        <f t="shared" si="1"/>
        <v>59</v>
      </c>
      <c r="C62" s="155">
        <f>基本情報!$C$3+B62-1</f>
        <v>2080</v>
      </c>
      <c r="D62" s="155">
        <f>IF(基本情報!$D$6="","",C62-YEAR(基本情報!$D$6)-IF(OR(MONTH(基本情報!$D$6)&gt;1,DAY(基本情報!$D$6)&gt;1),1,0))</f>
        <v>93</v>
      </c>
      <c r="E62" s="155">
        <f>IF(基本情報!$D$7="","",C62-YEAR(基本情報!$D$7)-IF(OR(MONTH(基本情報!$D$7)&gt;1,DAY(基本情報!$D$7)&gt;1),1,0))</f>
        <v>92</v>
      </c>
      <c r="F62" s="155">
        <f>IF(OR(基本情報!$D$8="",C62&lt;=YEAR(基本情報!$D$8)),"",MAX(0,C62-YEAR(基本情報!$D$8)-IF(OR(MONTH(基本情報!$D$8)&gt;1,DAY(基本情報!$D$8)&gt;1),1,0)))</f>
        <v>61</v>
      </c>
      <c r="G62" s="155">
        <f>IF(OR(基本情報!$D$9="",C62&lt;=YEAR(基本情報!$D$9)),"",MAX(0,C62-YEAR(基本情報!$D$9)-IF(OR(MONTH(基本情報!$D$9)&gt;1,DAY(基本情報!$D$9)&gt;1),1,0)))</f>
        <v>59</v>
      </c>
      <c r="H62" s="155">
        <f>IF(OR(基本情報!$D$10="",C62&lt;=YEAR(基本情報!$D$10)),"",MAX(0,C62-YEAR(基本情報!$D$10)-IF(OR(MONTH(基本情報!$D$10)&gt;1,DAY(基本情報!$D$10)&gt;1),1,0)))</f>
        <v>52</v>
      </c>
      <c r="I62" s="156">
        <f>IF(OR(基本情報!$D$11="",C62&lt;=YEAR(基本情報!$D$11)),"",MAX(0,C62-YEAR(基本情報!$D$11)-IF(OR(MONTH(基本情報!$D$11)&gt;1,DAY(基本情報!$D$11)&gt;1),1,0)))</f>
        <v>50</v>
      </c>
      <c r="J62" s="156">
        <f>IF(OR(基本情報!$D$12="",C62&lt;=YEAR(基本情報!$D$12)),"",MAX(0,C62-YEAR(基本情報!$D$12)-IF(OR(MONTH(基本情報!$D$12)&gt;1,DAY(基本情報!$D$12)&gt;1),1,0)))</f>
        <v>48</v>
      </c>
      <c r="K62" s="157" t="s">
        <v>398</v>
      </c>
      <c r="L62" s="158"/>
      <c r="M62" s="158"/>
      <c r="N62" s="158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>
      <c r="A63" s="1"/>
      <c r="B63" s="154">
        <f t="shared" si="1"/>
        <v>60</v>
      </c>
      <c r="C63" s="155">
        <f>基本情報!$C$3+B63-1</f>
        <v>2081</v>
      </c>
      <c r="D63" s="155">
        <f>IF(基本情報!$D$6="","",C63-YEAR(基本情報!$D$6)-IF(OR(MONTH(基本情報!$D$6)&gt;1,DAY(基本情報!$D$6)&gt;1),1,0))</f>
        <v>94</v>
      </c>
      <c r="E63" s="155">
        <f>IF(基本情報!$D$7="","",C63-YEAR(基本情報!$D$7)-IF(OR(MONTH(基本情報!$D$7)&gt;1,DAY(基本情報!$D$7)&gt;1),1,0))</f>
        <v>93</v>
      </c>
      <c r="F63" s="155">
        <f>IF(OR(基本情報!$D$8="",C63&lt;=YEAR(基本情報!$D$8)),"",MAX(0,C63-YEAR(基本情報!$D$8)-IF(OR(MONTH(基本情報!$D$8)&gt;1,DAY(基本情報!$D$8)&gt;1),1,0)))</f>
        <v>62</v>
      </c>
      <c r="G63" s="155">
        <f>IF(OR(基本情報!$D$9="",C63&lt;=YEAR(基本情報!$D$9)),"",MAX(0,C63-YEAR(基本情報!$D$9)-IF(OR(MONTH(基本情報!$D$9)&gt;1,DAY(基本情報!$D$9)&gt;1),1,0)))</f>
        <v>60</v>
      </c>
      <c r="H63" s="155">
        <f>IF(OR(基本情報!$D$10="",C63&lt;=YEAR(基本情報!$D$10)),"",MAX(0,C63-YEAR(基本情報!$D$10)-IF(OR(MONTH(基本情報!$D$10)&gt;1,DAY(基本情報!$D$10)&gt;1),1,0)))</f>
        <v>53</v>
      </c>
      <c r="I63" s="156">
        <f>IF(OR(基本情報!$D$11="",C63&lt;=YEAR(基本情報!$D$11)),"",MAX(0,C63-YEAR(基本情報!$D$11)-IF(OR(MONTH(基本情報!$D$11)&gt;1,DAY(基本情報!$D$11)&gt;1),1,0)))</f>
        <v>51</v>
      </c>
      <c r="J63" s="156">
        <f>IF(OR(基本情報!$D$12="",C63&lt;=YEAR(基本情報!$D$12)),"",MAX(0,C63-YEAR(基本情報!$D$12)-IF(OR(MONTH(基本情報!$D$12)&gt;1,DAY(基本情報!$D$12)&gt;1),1,0)))</f>
        <v>49</v>
      </c>
      <c r="K63" s="157" t="s">
        <v>398</v>
      </c>
      <c r="L63" s="158"/>
      <c r="M63" s="158"/>
      <c r="N63" s="158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>
      <c r="A64" s="1"/>
      <c r="B64" s="154">
        <f t="shared" si="1"/>
        <v>61</v>
      </c>
      <c r="C64" s="155">
        <f>基本情報!$C$3+B64-1</f>
        <v>2082</v>
      </c>
      <c r="D64" s="155">
        <f>IF(基本情報!$D$6="","",C64-YEAR(基本情報!$D$6)-IF(OR(MONTH(基本情報!$D$6)&gt;1,DAY(基本情報!$D$6)&gt;1),1,0))</f>
        <v>95</v>
      </c>
      <c r="E64" s="155">
        <f>IF(基本情報!$D$7="","",C64-YEAR(基本情報!$D$7)-IF(OR(MONTH(基本情報!$D$7)&gt;1,DAY(基本情報!$D$7)&gt;1),1,0))</f>
        <v>94</v>
      </c>
      <c r="F64" s="155">
        <f>IF(OR(基本情報!$D$8="",C64&lt;=YEAR(基本情報!$D$8)),"",MAX(0,C64-YEAR(基本情報!$D$8)-IF(OR(MONTH(基本情報!$D$8)&gt;1,DAY(基本情報!$D$8)&gt;1),1,0)))</f>
        <v>63</v>
      </c>
      <c r="G64" s="155">
        <f>IF(OR(基本情報!$D$9="",C64&lt;=YEAR(基本情報!$D$9)),"",MAX(0,C64-YEAR(基本情報!$D$9)-IF(OR(MONTH(基本情報!$D$9)&gt;1,DAY(基本情報!$D$9)&gt;1),1,0)))</f>
        <v>61</v>
      </c>
      <c r="H64" s="155">
        <f>IF(OR(基本情報!$D$10="",C64&lt;=YEAR(基本情報!$D$10)),"",MAX(0,C64-YEAR(基本情報!$D$10)-IF(OR(MONTH(基本情報!$D$10)&gt;1,DAY(基本情報!$D$10)&gt;1),1,0)))</f>
        <v>54</v>
      </c>
      <c r="I64" s="156">
        <f>IF(OR(基本情報!$D$11="",C64&lt;=YEAR(基本情報!$D$11)),"",MAX(0,C64-YEAR(基本情報!$D$11)-IF(OR(MONTH(基本情報!$D$11)&gt;1,DAY(基本情報!$D$11)&gt;1),1,0)))</f>
        <v>52</v>
      </c>
      <c r="J64" s="156">
        <f>IF(OR(基本情報!$D$12="",C64&lt;=YEAR(基本情報!$D$12)),"",MAX(0,C64-YEAR(基本情報!$D$12)-IF(OR(MONTH(基本情報!$D$12)&gt;1,DAY(基本情報!$D$12)&gt;1),1,0)))</f>
        <v>50</v>
      </c>
      <c r="K64" s="157" t="s">
        <v>398</v>
      </c>
      <c r="L64" s="158"/>
      <c r="M64" s="158"/>
      <c r="N64" s="158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>
      <c r="A65" s="1"/>
      <c r="B65" s="154">
        <f t="shared" si="1"/>
        <v>62</v>
      </c>
      <c r="C65" s="155">
        <f>基本情報!$C$3+B65-1</f>
        <v>2083</v>
      </c>
      <c r="D65" s="155">
        <f>IF(基本情報!$D$6="","",C65-YEAR(基本情報!$D$6)-IF(OR(MONTH(基本情報!$D$6)&gt;1,DAY(基本情報!$D$6)&gt;1),1,0))</f>
        <v>96</v>
      </c>
      <c r="E65" s="155">
        <f>IF(基本情報!$D$7="","",C65-YEAR(基本情報!$D$7)-IF(OR(MONTH(基本情報!$D$7)&gt;1,DAY(基本情報!$D$7)&gt;1),1,0))</f>
        <v>95</v>
      </c>
      <c r="F65" s="155">
        <f>IF(OR(基本情報!$D$8="",C65&lt;=YEAR(基本情報!$D$8)),"",MAX(0,C65-YEAR(基本情報!$D$8)-IF(OR(MONTH(基本情報!$D$8)&gt;1,DAY(基本情報!$D$8)&gt;1),1,0)))</f>
        <v>64</v>
      </c>
      <c r="G65" s="155">
        <f>IF(OR(基本情報!$D$9="",C65&lt;=YEAR(基本情報!$D$9)),"",MAX(0,C65-YEAR(基本情報!$D$9)-IF(OR(MONTH(基本情報!$D$9)&gt;1,DAY(基本情報!$D$9)&gt;1),1,0)))</f>
        <v>62</v>
      </c>
      <c r="H65" s="155">
        <f>IF(OR(基本情報!$D$10="",C65&lt;=YEAR(基本情報!$D$10)),"",MAX(0,C65-YEAR(基本情報!$D$10)-IF(OR(MONTH(基本情報!$D$10)&gt;1,DAY(基本情報!$D$10)&gt;1),1,0)))</f>
        <v>55</v>
      </c>
      <c r="I65" s="156">
        <f>IF(OR(基本情報!$D$11="",C65&lt;=YEAR(基本情報!$D$11)),"",MAX(0,C65-YEAR(基本情報!$D$11)-IF(OR(MONTH(基本情報!$D$11)&gt;1,DAY(基本情報!$D$11)&gt;1),1,0)))</f>
        <v>53</v>
      </c>
      <c r="J65" s="156">
        <f>IF(OR(基本情報!$D$12="",C65&lt;=YEAR(基本情報!$D$12)),"",MAX(0,C65-YEAR(基本情報!$D$12)-IF(OR(MONTH(基本情報!$D$12)&gt;1,DAY(基本情報!$D$12)&gt;1),1,0)))</f>
        <v>51</v>
      </c>
      <c r="K65" s="157" t="s">
        <v>398</v>
      </c>
      <c r="L65" s="158"/>
      <c r="M65" s="158"/>
      <c r="N65" s="158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>
      <c r="A66" s="1"/>
      <c r="B66" s="154">
        <f t="shared" si="1"/>
        <v>63</v>
      </c>
      <c r="C66" s="155">
        <f>基本情報!$C$3+B66-1</f>
        <v>2084</v>
      </c>
      <c r="D66" s="155">
        <f>IF(基本情報!$D$6="","",C66-YEAR(基本情報!$D$6)-IF(OR(MONTH(基本情報!$D$6)&gt;1,DAY(基本情報!$D$6)&gt;1),1,0))</f>
        <v>97</v>
      </c>
      <c r="E66" s="155">
        <f>IF(基本情報!$D$7="","",C66-YEAR(基本情報!$D$7)-IF(OR(MONTH(基本情報!$D$7)&gt;1,DAY(基本情報!$D$7)&gt;1),1,0))</f>
        <v>96</v>
      </c>
      <c r="F66" s="155">
        <f>IF(OR(基本情報!$D$8="",C66&lt;=YEAR(基本情報!$D$8)),"",MAX(0,C66-YEAR(基本情報!$D$8)-IF(OR(MONTH(基本情報!$D$8)&gt;1,DAY(基本情報!$D$8)&gt;1),1,0)))</f>
        <v>65</v>
      </c>
      <c r="G66" s="155">
        <f>IF(OR(基本情報!$D$9="",C66&lt;=YEAR(基本情報!$D$9)),"",MAX(0,C66-YEAR(基本情報!$D$9)-IF(OR(MONTH(基本情報!$D$9)&gt;1,DAY(基本情報!$D$9)&gt;1),1,0)))</f>
        <v>63</v>
      </c>
      <c r="H66" s="155">
        <f>IF(OR(基本情報!$D$10="",C66&lt;=YEAR(基本情報!$D$10)),"",MAX(0,C66-YEAR(基本情報!$D$10)-IF(OR(MONTH(基本情報!$D$10)&gt;1,DAY(基本情報!$D$10)&gt;1),1,0)))</f>
        <v>56</v>
      </c>
      <c r="I66" s="156">
        <f>IF(OR(基本情報!$D$11="",C66&lt;=YEAR(基本情報!$D$11)),"",MAX(0,C66-YEAR(基本情報!$D$11)-IF(OR(MONTH(基本情報!$D$11)&gt;1,DAY(基本情報!$D$11)&gt;1),1,0)))</f>
        <v>54</v>
      </c>
      <c r="J66" s="156">
        <f>IF(OR(基本情報!$D$12="",C66&lt;=YEAR(基本情報!$D$12)),"",MAX(0,C66-YEAR(基本情報!$D$12)-IF(OR(MONTH(基本情報!$D$12)&gt;1,DAY(基本情報!$D$12)&gt;1),1,0)))</f>
        <v>52</v>
      </c>
      <c r="K66" s="157" t="s">
        <v>398</v>
      </c>
      <c r="L66" s="158"/>
      <c r="M66" s="158"/>
      <c r="N66" s="158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>
      <c r="A67" s="1"/>
      <c r="B67" s="154">
        <f t="shared" si="1"/>
        <v>64</v>
      </c>
      <c r="C67" s="155">
        <f>基本情報!$C$3+B67-1</f>
        <v>2085</v>
      </c>
      <c r="D67" s="155">
        <f>IF(基本情報!$D$6="","",C67-YEAR(基本情報!$D$6)-IF(OR(MONTH(基本情報!$D$6)&gt;1,DAY(基本情報!$D$6)&gt;1),1,0))</f>
        <v>98</v>
      </c>
      <c r="E67" s="155">
        <f>IF(基本情報!$D$7="","",C67-YEAR(基本情報!$D$7)-IF(OR(MONTH(基本情報!$D$7)&gt;1,DAY(基本情報!$D$7)&gt;1),1,0))</f>
        <v>97</v>
      </c>
      <c r="F67" s="155">
        <f>IF(OR(基本情報!$D$8="",C67&lt;=YEAR(基本情報!$D$8)),"",MAX(0,C67-YEAR(基本情報!$D$8)-IF(OR(MONTH(基本情報!$D$8)&gt;1,DAY(基本情報!$D$8)&gt;1),1,0)))</f>
        <v>66</v>
      </c>
      <c r="G67" s="155">
        <f>IF(OR(基本情報!$D$9="",C67&lt;=YEAR(基本情報!$D$9)),"",MAX(0,C67-YEAR(基本情報!$D$9)-IF(OR(MONTH(基本情報!$D$9)&gt;1,DAY(基本情報!$D$9)&gt;1),1,0)))</f>
        <v>64</v>
      </c>
      <c r="H67" s="155">
        <f>IF(OR(基本情報!$D$10="",C67&lt;=YEAR(基本情報!$D$10)),"",MAX(0,C67-YEAR(基本情報!$D$10)-IF(OR(MONTH(基本情報!$D$10)&gt;1,DAY(基本情報!$D$10)&gt;1),1,0)))</f>
        <v>57</v>
      </c>
      <c r="I67" s="156">
        <f>IF(OR(基本情報!$D$11="",C67&lt;=YEAR(基本情報!$D$11)),"",MAX(0,C67-YEAR(基本情報!$D$11)-IF(OR(MONTH(基本情報!$D$11)&gt;1,DAY(基本情報!$D$11)&gt;1),1,0)))</f>
        <v>55</v>
      </c>
      <c r="J67" s="156">
        <f>IF(OR(基本情報!$D$12="",C67&lt;=YEAR(基本情報!$D$12)),"",MAX(0,C67-YEAR(基本情報!$D$12)-IF(OR(MONTH(基本情報!$D$12)&gt;1,DAY(基本情報!$D$12)&gt;1),1,0)))</f>
        <v>53</v>
      </c>
      <c r="K67" s="157" t="s">
        <v>398</v>
      </c>
      <c r="L67" s="158"/>
      <c r="M67" s="158"/>
      <c r="N67" s="158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>
      <c r="A68" s="1"/>
      <c r="B68" s="154">
        <f t="shared" si="1"/>
        <v>65</v>
      </c>
      <c r="C68" s="155">
        <f>基本情報!$C$3+B68-1</f>
        <v>2086</v>
      </c>
      <c r="D68" s="155">
        <f>IF(基本情報!$D$6="","",C68-YEAR(基本情報!$D$6)-IF(OR(MONTH(基本情報!$D$6)&gt;1,DAY(基本情報!$D$6)&gt;1),1,0))</f>
        <v>99</v>
      </c>
      <c r="E68" s="155">
        <f>IF(基本情報!$D$7="","",C68-YEAR(基本情報!$D$7)-IF(OR(MONTH(基本情報!$D$7)&gt;1,DAY(基本情報!$D$7)&gt;1),1,0))</f>
        <v>98</v>
      </c>
      <c r="F68" s="155">
        <f>IF(OR(基本情報!$D$8="",C68&lt;=YEAR(基本情報!$D$8)),"",MAX(0,C68-YEAR(基本情報!$D$8)-IF(OR(MONTH(基本情報!$D$8)&gt;1,DAY(基本情報!$D$8)&gt;1),1,0)))</f>
        <v>67</v>
      </c>
      <c r="G68" s="155">
        <f>IF(OR(基本情報!$D$9="",C68&lt;=YEAR(基本情報!$D$9)),"",MAX(0,C68-YEAR(基本情報!$D$9)-IF(OR(MONTH(基本情報!$D$9)&gt;1,DAY(基本情報!$D$9)&gt;1),1,0)))</f>
        <v>65</v>
      </c>
      <c r="H68" s="155">
        <f>IF(OR(基本情報!$D$10="",C68&lt;=YEAR(基本情報!$D$10)),"",MAX(0,C68-YEAR(基本情報!$D$10)-IF(OR(MONTH(基本情報!$D$10)&gt;1,DAY(基本情報!$D$10)&gt;1),1,0)))</f>
        <v>58</v>
      </c>
      <c r="I68" s="156">
        <f>IF(OR(基本情報!$D$11="",C68&lt;=YEAR(基本情報!$D$11)),"",MAX(0,C68-YEAR(基本情報!$D$11)-IF(OR(MONTH(基本情報!$D$11)&gt;1,DAY(基本情報!$D$11)&gt;1),1,0)))</f>
        <v>56</v>
      </c>
      <c r="J68" s="156">
        <f>IF(OR(基本情報!$D$12="",C68&lt;=YEAR(基本情報!$D$12)),"",MAX(0,C68-YEAR(基本情報!$D$12)-IF(OR(MONTH(基本情報!$D$12)&gt;1,DAY(基本情報!$D$12)&gt;1),1,0)))</f>
        <v>54</v>
      </c>
      <c r="K68" s="157" t="s">
        <v>398</v>
      </c>
      <c r="L68" s="158"/>
      <c r="M68" s="158"/>
      <c r="N68" s="158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>
      <c r="A69" s="1"/>
      <c r="B69" s="154">
        <f t="shared" si="1"/>
        <v>66</v>
      </c>
      <c r="C69" s="155">
        <f>基本情報!$C$3+B69-1</f>
        <v>2087</v>
      </c>
      <c r="D69" s="155">
        <f>IF(基本情報!$D$6="","",C69-YEAR(基本情報!$D$6)-IF(OR(MONTH(基本情報!$D$6)&gt;1,DAY(基本情報!$D$6)&gt;1),1,0))</f>
        <v>100</v>
      </c>
      <c r="E69" s="155">
        <f>IF(基本情報!$D$7="","",C69-YEAR(基本情報!$D$7)-IF(OR(MONTH(基本情報!$D$7)&gt;1,DAY(基本情報!$D$7)&gt;1),1,0))</f>
        <v>99</v>
      </c>
      <c r="F69" s="155">
        <f>IF(OR(基本情報!$D$8="",C69&lt;=YEAR(基本情報!$D$8)),"",MAX(0,C69-YEAR(基本情報!$D$8)-IF(OR(MONTH(基本情報!$D$8)&gt;1,DAY(基本情報!$D$8)&gt;1),1,0)))</f>
        <v>68</v>
      </c>
      <c r="G69" s="155">
        <f>IF(OR(基本情報!$D$9="",C69&lt;=YEAR(基本情報!$D$9)),"",MAX(0,C69-YEAR(基本情報!$D$9)-IF(OR(MONTH(基本情報!$D$9)&gt;1,DAY(基本情報!$D$9)&gt;1),1,0)))</f>
        <v>66</v>
      </c>
      <c r="H69" s="155">
        <f>IF(OR(基本情報!$D$10="",C69&lt;=YEAR(基本情報!$D$10)),"",MAX(0,C69-YEAR(基本情報!$D$10)-IF(OR(MONTH(基本情報!$D$10)&gt;1,DAY(基本情報!$D$10)&gt;1),1,0)))</f>
        <v>59</v>
      </c>
      <c r="I69" s="156">
        <f>IF(OR(基本情報!$D$11="",C69&lt;=YEAR(基本情報!$D$11)),"",MAX(0,C69-YEAR(基本情報!$D$11)-IF(OR(MONTH(基本情報!$D$11)&gt;1,DAY(基本情報!$D$11)&gt;1),1,0)))</f>
        <v>57</v>
      </c>
      <c r="J69" s="156">
        <f>IF(OR(基本情報!$D$12="",C69&lt;=YEAR(基本情報!$D$12)),"",MAX(0,C69-YEAR(基本情報!$D$12)-IF(OR(MONTH(基本情報!$D$12)&gt;1,DAY(基本情報!$D$12)&gt;1),1,0)))</f>
        <v>55</v>
      </c>
      <c r="K69" s="157" t="s">
        <v>398</v>
      </c>
      <c r="L69" s="158" t="s">
        <v>399</v>
      </c>
      <c r="M69" s="158"/>
      <c r="N69" s="158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26" ht="1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26" ht="1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26" ht="1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26" ht="1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26" ht="1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26" ht="1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26" ht="1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26" ht="1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26" ht="1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26" ht="1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26" ht="1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26" ht="1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26" ht="1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26" ht="1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26" ht="1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26" ht="1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26" ht="1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L1"/>
  </mergeCells>
  <phoneticPr fontId="37"/>
  <pageMargins left="0.7" right="0.7" top="0.75" bottom="0.75" header="0" footer="0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56</vt:i4>
      </vt:variant>
    </vt:vector>
  </HeadingPairs>
  <TitlesOfParts>
    <vt:vector size="68" baseType="lpstr">
      <vt:lpstr>説明・使い方</vt:lpstr>
      <vt:lpstr>基本情報</vt:lpstr>
      <vt:lpstr>収入計画</vt:lpstr>
      <vt:lpstr>支出計画</vt:lpstr>
      <vt:lpstr>住宅ローン償還表</vt:lpstr>
      <vt:lpstr>ダッシュボード</vt:lpstr>
      <vt:lpstr>金融資産</vt:lpstr>
      <vt:lpstr>保険</vt:lpstr>
      <vt:lpstr>ライフイベント表</vt:lpstr>
      <vt:lpstr>キャッシュフロー表</vt:lpstr>
      <vt:lpstr>全国平均比較</vt:lpstr>
      <vt:lpstr>Sheet1</vt:lpstr>
      <vt:lpstr>CF_開始行</vt:lpstr>
      <vt:lpstr>LE_開始行</vt:lpstr>
      <vt:lpstr>ローン_年間返済</vt:lpstr>
      <vt:lpstr>ローン1_開始年</vt:lpstr>
      <vt:lpstr>ローン1_期間</vt:lpstr>
      <vt:lpstr>ローン1_借入</vt:lpstr>
      <vt:lpstr>ローン1_利率</vt:lpstr>
      <vt:lpstr>ローン2_開始年</vt:lpstr>
      <vt:lpstr>ローン2_期間</vt:lpstr>
      <vt:lpstr>ローン2_借入</vt:lpstr>
      <vt:lpstr>ローン2_利率</vt:lpstr>
      <vt:lpstr>一時収入_開始行</vt:lpstr>
      <vt:lpstr>基準年</vt:lpstr>
      <vt:lpstr>教育_高校</vt:lpstr>
      <vt:lpstr>教育_小学</vt:lpstr>
      <vt:lpstr>教育_大学</vt:lpstr>
      <vt:lpstr>教育_大学初</vt:lpstr>
      <vt:lpstr>教育_中学</vt:lpstr>
      <vt:lpstr>教育_保育</vt:lpstr>
      <vt:lpstr>教育変動率</vt:lpstr>
      <vt:lpstr>再就職終了_配偶者</vt:lpstr>
      <vt:lpstr>再就職終了_本人</vt:lpstr>
      <vt:lpstr>再就職年収_配偶者</vt:lpstr>
      <vt:lpstr>再就職年収_本人</vt:lpstr>
      <vt:lpstr>子1基準年齢</vt:lpstr>
      <vt:lpstr>子2基準年齢</vt:lpstr>
      <vt:lpstr>子3基準年齢</vt:lpstr>
      <vt:lpstr>子就職後削減額</vt:lpstr>
      <vt:lpstr>時短終了年齢_配偶者</vt:lpstr>
      <vt:lpstr>出産年</vt:lpstr>
      <vt:lpstr>初期金融資産</vt:lpstr>
      <vt:lpstr>想定運用利回り</vt:lpstr>
      <vt:lpstr>退職金_配偶者</vt:lpstr>
      <vt:lpstr>退職金_本人</vt:lpstr>
      <vt:lpstr>退職後維持費</vt:lpstr>
      <vt:lpstr>退職後生活費</vt:lpstr>
      <vt:lpstr>貯蓄運用利回り</vt:lpstr>
      <vt:lpstr>定年_配偶者</vt:lpstr>
      <vt:lpstr>定年_本人</vt:lpstr>
      <vt:lpstr>年金開始_配偶者</vt:lpstr>
      <vt:lpstr>年金開始_本人</vt:lpstr>
      <vt:lpstr>年金月額_配偶者</vt:lpstr>
      <vt:lpstr>年金月額_本人</vt:lpstr>
      <vt:lpstr>配偶者可処分</vt:lpstr>
      <vt:lpstr>配偶者基準年齢</vt:lpstr>
      <vt:lpstr>配偶者上昇率1</vt:lpstr>
      <vt:lpstr>配偶者上昇率2</vt:lpstr>
      <vt:lpstr>配偶者切替年齢</vt:lpstr>
      <vt:lpstr>配偶者年収</vt:lpstr>
      <vt:lpstr>扶養者基準年齢</vt:lpstr>
      <vt:lpstr>復帰年齢_配偶者</vt:lpstr>
      <vt:lpstr>本人可処分</vt:lpstr>
      <vt:lpstr>本人上昇率1</vt:lpstr>
      <vt:lpstr>本人上昇率2</vt:lpstr>
      <vt:lpstr>本人切替年齢</vt:lpstr>
      <vt:lpstr>本人年収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前田秀樹</dc:creator>
  <cp:lastModifiedBy>秀樹 前田</cp:lastModifiedBy>
  <cp:lastPrinted>2026-06-06T23:43:25Z</cp:lastPrinted>
  <dcterms:created xsi:type="dcterms:W3CDTF">2026-06-06T12:05:47Z</dcterms:created>
  <dcterms:modified xsi:type="dcterms:W3CDTF">2026-06-07T00:02:16Z</dcterms:modified>
</cp:coreProperties>
</file>